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 refMode="R1C1"/>
</workbook>
</file>

<file path=xl/calcChain.xml><?xml version="1.0" encoding="utf-8"?>
<calcChain xmlns="http://schemas.openxmlformats.org/spreadsheetml/2006/main">
  <c r="D70" i="1"/>
  <c r="H32" l="1"/>
  <c r="D40"/>
  <c r="C32"/>
  <c r="C29"/>
  <c r="H11"/>
  <c r="H10"/>
  <c r="J6" i="2" l="1"/>
  <c r="H6"/>
  <c r="F6"/>
  <c r="F4"/>
  <c r="F3"/>
  <c r="D75" i="1" l="1"/>
  <c r="D78" s="1"/>
  <c r="H12"/>
  <c r="G11"/>
  <c r="F11"/>
  <c r="C12"/>
  <c r="B12" l="1"/>
  <c r="D61" l="1"/>
  <c r="F61" s="1"/>
  <c r="D62"/>
  <c r="F62" s="1"/>
  <c r="G62" s="1"/>
  <c r="H62" s="1"/>
  <c r="G61" l="1"/>
  <c r="D45"/>
  <c r="D44"/>
  <c r="H61" l="1"/>
  <c r="D97"/>
  <c r="D107"/>
  <c r="D121"/>
  <c r="D119"/>
  <c r="D108"/>
  <c r="D106"/>
  <c r="D105"/>
  <c r="D104"/>
  <c r="D118"/>
  <c r="D109" l="1"/>
  <c r="D116" l="1"/>
  <c r="D117" l="1"/>
  <c r="D123" s="1"/>
  <c r="E92"/>
  <c r="E91"/>
  <c r="E90"/>
  <c r="E89"/>
  <c r="E88"/>
  <c r="D84"/>
  <c r="E93" l="1"/>
  <c r="D71"/>
  <c r="D64" l="1"/>
  <c r="F64" s="1"/>
  <c r="D63"/>
  <c r="F63" s="1"/>
  <c r="F66" l="1"/>
  <c r="G63"/>
  <c r="G64"/>
  <c r="H64" s="1"/>
  <c r="D53"/>
  <c r="E53" s="1"/>
  <c r="D52"/>
  <c r="E52" s="1"/>
  <c r="D51"/>
  <c r="E51" s="1"/>
  <c r="B55"/>
  <c r="D30"/>
  <c r="G30" s="1"/>
  <c r="D27"/>
  <c r="D31"/>
  <c r="G31" s="1"/>
  <c r="D28"/>
  <c r="G28" s="1"/>
  <c r="D20"/>
  <c r="G20" s="1"/>
  <c r="H20" s="1"/>
  <c r="D18"/>
  <c r="G18" s="1"/>
  <c r="H18" s="1"/>
  <c r="G10"/>
  <c r="G12" s="1"/>
  <c r="F10"/>
  <c r="F12" s="1"/>
  <c r="D32" l="1"/>
  <c r="H21"/>
  <c r="H63"/>
  <c r="H65" s="1"/>
  <c r="G66"/>
  <c r="H66" s="1"/>
  <c r="F52"/>
  <c r="F51"/>
  <c r="F53"/>
  <c r="D55"/>
  <c r="G27"/>
  <c r="G32" s="1"/>
  <c r="D21"/>
  <c r="D46"/>
  <c r="D47" s="1"/>
  <c r="G21"/>
  <c r="B37" l="1"/>
  <c r="B40" s="1"/>
  <c r="G51"/>
  <c r="H51" s="1"/>
  <c r="G53"/>
  <c r="H53" s="1"/>
  <c r="G52"/>
  <c r="H52" s="1"/>
  <c r="F54"/>
  <c r="E55"/>
  <c r="F55" s="1"/>
  <c r="E40" l="1"/>
  <c r="G40" s="1"/>
  <c r="I52"/>
  <c r="J52" s="1"/>
  <c r="I51"/>
  <c r="J51" s="1"/>
  <c r="G55"/>
  <c r="H55" s="1"/>
  <c r="I53"/>
  <c r="J53" s="1"/>
  <c r="H54"/>
  <c r="G54"/>
  <c r="C47"/>
  <c r="I54" l="1"/>
  <c r="I55"/>
  <c r="J55" s="1"/>
  <c r="J54"/>
  <c r="D111" l="1"/>
  <c r="D125" s="1"/>
  <c r="D127" l="1"/>
  <c r="D128" l="1"/>
  <c r="D130" s="1"/>
  <c r="J130" s="1"/>
  <c r="D132" s="1"/>
</calcChain>
</file>

<file path=xl/sharedStrings.xml><?xml version="1.0" encoding="utf-8"?>
<sst xmlns="http://schemas.openxmlformats.org/spreadsheetml/2006/main" count="184" uniqueCount="144">
  <si>
    <t>объем тбо</t>
  </si>
  <si>
    <t>трудоемкость на 1 рейс</t>
  </si>
  <si>
    <t>трудоемкость всего</t>
  </si>
  <si>
    <t>водитель</t>
  </si>
  <si>
    <t>грузчик</t>
  </si>
  <si>
    <t>к-во рейсов</t>
  </si>
  <si>
    <t>км на 1рейс</t>
  </si>
  <si>
    <t>итого</t>
  </si>
  <si>
    <t>2. Проезд к месту погрузки ТБО</t>
  </si>
  <si>
    <t>по населенному пункту</t>
  </si>
  <si>
    <t>вне населенного пункта</t>
  </si>
  <si>
    <t>пробег</t>
  </si>
  <si>
    <t>скорость</t>
  </si>
  <si>
    <t>ТО-1</t>
  </si>
  <si>
    <t>ТО-2</t>
  </si>
  <si>
    <t>ТР</t>
  </si>
  <si>
    <t>отработано          м-часов, пробег км</t>
  </si>
  <si>
    <t>3. Проезд к полигону ТБО и  обратно</t>
  </si>
  <si>
    <t xml:space="preserve">Нормативн. численность на весь объем         </t>
  </si>
  <si>
    <t>1.Расчет нормативной трудоемкости</t>
  </si>
  <si>
    <t>2.Расчет фонда заработной платы</t>
  </si>
  <si>
    <t>К-т п.-з. работы</t>
  </si>
  <si>
    <t xml:space="preserve"> - ВОДИТЕЛИ</t>
  </si>
  <si>
    <t xml:space="preserve">    - РАБОЧИЕ</t>
  </si>
  <si>
    <t>4. Рабочие, занятые техническим обслуживанием и текущим ремонтом спецмашин</t>
  </si>
  <si>
    <t>- РЕМОНТНИКИ</t>
  </si>
  <si>
    <t>Нормативная трудоемкость, чел-час</t>
  </si>
  <si>
    <t xml:space="preserve">Итого </t>
  </si>
  <si>
    <t>Часовая тарифная ставка, руб.</t>
  </si>
  <si>
    <t>ФЗП на весь объем, руб.</t>
  </si>
  <si>
    <t>Резерв на отпуск, руб.   (7,7 %)</t>
  </si>
  <si>
    <t>Начисления на зарплату, руб. (20,3%)</t>
  </si>
  <si>
    <t>ВСЕГО ФЗП, РУБ.</t>
  </si>
  <si>
    <t>Итого</t>
  </si>
  <si>
    <t>3. Стоимость   ГСМ</t>
  </si>
  <si>
    <t>стоимость 1л, руб.</t>
  </si>
  <si>
    <t>Мусоровоз КО-440-2 дизель, км</t>
  </si>
  <si>
    <t xml:space="preserve">                                           рейсов</t>
  </si>
  <si>
    <t>норма расхода, л</t>
  </si>
  <si>
    <t>пробег, рейсы, моточасы</t>
  </si>
  <si>
    <t>количество горючего, всего</t>
  </si>
  <si>
    <t>стоимость горючего - всего</t>
  </si>
  <si>
    <t>ИТОГО          ГСМ</t>
  </si>
  <si>
    <t>4. Амортизация</t>
  </si>
  <si>
    <t>Амортизируемое имущество</t>
  </si>
  <si>
    <t>Балансовая стоимость, руб.</t>
  </si>
  <si>
    <t>Норма амор-тизации, %</t>
  </si>
  <si>
    <t>Годовая сумма аморт</t>
  </si>
  <si>
    <t>Цена за 1 куб.м</t>
  </si>
  <si>
    <t>Всего стоимость утилизации, руб.</t>
  </si>
  <si>
    <t>6. Запчасти</t>
  </si>
  <si>
    <t>ФЗП</t>
  </si>
  <si>
    <t>ВСЕГО стоимость запчастей</t>
  </si>
  <si>
    <t>Запчасти</t>
  </si>
  <si>
    <t>Норматив на 1 руб. прямой зарплаты</t>
  </si>
  <si>
    <t>7. Спецодежда</t>
  </si>
  <si>
    <t>ВСЕГО НОРМАТИВНАЯ ТРУДОЕМКОСТЬ И НОРМАТИВНАЯ ЧИСЛЕННОСТЬ</t>
  </si>
  <si>
    <t>ИТОГО</t>
  </si>
  <si>
    <t>Категория рабочих</t>
  </si>
  <si>
    <t>норматив трудоемк</t>
  </si>
  <si>
    <t>норматив численность</t>
  </si>
  <si>
    <t>комбинезон х/б</t>
  </si>
  <si>
    <t>сапоги резиновые</t>
  </si>
  <si>
    <t xml:space="preserve">перчатки с полимерным покрытием 
</t>
  </si>
  <si>
    <t>ботинки на утепляющей прокладке</t>
  </si>
  <si>
    <t>Наименование</t>
  </si>
  <si>
    <t>в расчете на год</t>
  </si>
  <si>
    <t>количество комплектов</t>
  </si>
  <si>
    <t>цена за единицу, рублей</t>
  </si>
  <si>
    <t>Всего стоимость в расчете на год</t>
  </si>
  <si>
    <t>0,33</t>
  </si>
  <si>
    <t>костюм(куртка+брюки) на утепляющей прокладке</t>
  </si>
  <si>
    <t>8. Расходные материалы,  инструмент</t>
  </si>
  <si>
    <t>Инструмент, материалы</t>
  </si>
  <si>
    <t>9. Прочие прямые затраты</t>
  </si>
  <si>
    <t>Ремонт и диагностика</t>
  </si>
  <si>
    <t xml:space="preserve">ВСЕГО стоимость </t>
  </si>
  <si>
    <t>ГСМ служебных  автомобилей</t>
  </si>
  <si>
    <t>ОСАГО</t>
  </si>
  <si>
    <t>Обучение водителей, госпошлина ГИБДД</t>
  </si>
  <si>
    <t>электроэнергия, вода</t>
  </si>
  <si>
    <t>услуги связи</t>
  </si>
  <si>
    <t>прочие услуги (расчет экология, кассовый  аппарат, бланки, канцтовары, почтовые расходы</t>
  </si>
  <si>
    <t>ВСЕГО ПРЯМЫХ РАСХОДОВ</t>
  </si>
  <si>
    <t>Обучение  по охране труда</t>
  </si>
  <si>
    <t>охрана труда</t>
  </si>
  <si>
    <t>смазочные материалы, к= 0,094</t>
  </si>
  <si>
    <t xml:space="preserve">Норматив </t>
  </si>
  <si>
    <t xml:space="preserve">ВСЕГО  </t>
  </si>
  <si>
    <t>начисления</t>
  </si>
  <si>
    <t>ВСЕГО ЗАТРАТ</t>
  </si>
  <si>
    <t>ВСЕГО СТОИМОСТЬ ВЫВОЗА ТБО</t>
  </si>
  <si>
    <t>НА  1 КУБ.М</t>
  </si>
  <si>
    <t>ИТОГО ОБЩЕЭКПЛУАТАЦИОННЫЕ</t>
  </si>
  <si>
    <t>10. Общеэксплуатационные  расходы</t>
  </si>
  <si>
    <t>РЕНТАБЕЛЬНОСТЬ</t>
  </si>
  <si>
    <t>Непредвиденные расходы</t>
  </si>
  <si>
    <t>годовой фонд рабоч времени, чел-час</t>
  </si>
  <si>
    <t>СБОР  И  ВЫВОЗ   ТБО  К МЕСТУ УТИЛИЗАЦИИ (42-51КМ)</t>
  </si>
  <si>
    <t xml:space="preserve">1. Погрузка ТБО в бункер </t>
  </si>
  <si>
    <t xml:space="preserve">                                                                                                                                                                                   </t>
  </si>
  <si>
    <t>Мусоровоз МК-3443-03 дизель, км</t>
  </si>
  <si>
    <t>Зарплата АУП, служащих и МОП</t>
  </si>
  <si>
    <t xml:space="preserve">Премия  </t>
  </si>
  <si>
    <t>Утверждаю</t>
  </si>
  <si>
    <t>Директор МУП "ЖКХ-Комфорт"</t>
  </si>
  <si>
    <t xml:space="preserve"> ________________В.В.Нечай</t>
  </si>
  <si>
    <t>Исполнитель:</t>
  </si>
  <si>
    <t>Экономист  Мусиенко Н.В.</t>
  </si>
  <si>
    <t>"___"______________2018г.</t>
  </si>
  <si>
    <t>КАЛЬКУЛЯЦИЯ</t>
  </si>
  <si>
    <t>НА  ВЫВОЗ  ТВЕРДЫХ   КОММУНАЛЬНЫХ     ОТХОДОВ,</t>
  </si>
  <si>
    <t xml:space="preserve"> ВЫВОЗ  ПРОИЗВОДСТВЕННЫХ ОТХОДОВ  </t>
  </si>
  <si>
    <t xml:space="preserve">ОТ  УЧРЕЖДЕНИЙ  И   ПРЕДПРИЯТИЙ, </t>
  </si>
  <si>
    <t xml:space="preserve">2018 ГОД  </t>
  </si>
  <si>
    <t xml:space="preserve">  (ОТХОДЫ   ПОДОБНЫЕ  КОММУНАЛЬНЫМ)</t>
  </si>
  <si>
    <t>Экономист</t>
  </si>
  <si>
    <t>Н.В.Мусиенко</t>
  </si>
  <si>
    <t>МУП "ЖКХ-Комфорт"</t>
  </si>
  <si>
    <t>Мусоровоз КО-440-2,  МК-3443-03</t>
  </si>
  <si>
    <t>Мусоровоз КО-440-2, МК-3443-03</t>
  </si>
  <si>
    <t>Мусоровоз КО-440-2,МК-3443-03</t>
  </si>
  <si>
    <t xml:space="preserve">            Нормативная              численность                            на 10000 м-час ,                                                      100000 км пробега</t>
  </si>
  <si>
    <t>числ</t>
  </si>
  <si>
    <t>к-т</t>
  </si>
  <si>
    <t>норматив</t>
  </si>
  <si>
    <t>объем</t>
  </si>
  <si>
    <t>Виногр</t>
  </si>
  <si>
    <r>
      <t>- планируемый объем вывоза ТБО (</t>
    </r>
    <r>
      <rPr>
        <i/>
        <sz val="12"/>
        <color rgb="FF000000"/>
        <rFont val="Times New Roman"/>
        <family val="1"/>
        <charset val="204"/>
      </rPr>
      <t>V</t>
    </r>
    <r>
      <rPr>
        <vertAlign val="subscript"/>
        <sz val="12"/>
        <color rgb="FF000000"/>
        <rFont val="Times New Roman"/>
        <family val="1"/>
        <charset val="204"/>
      </rPr>
      <t>tbo</t>
    </r>
    <r>
      <rPr>
        <sz val="12"/>
        <color rgb="FF000000"/>
        <rFont val="Times New Roman"/>
        <family val="1"/>
        <charset val="204"/>
      </rPr>
      <t>);</t>
    </r>
  </si>
  <si>
    <t xml:space="preserve">Вышестебл </t>
  </si>
  <si>
    <t>тонн</t>
  </si>
  <si>
    <t>к-т упл</t>
  </si>
  <si>
    <t>куб.м упл</t>
  </si>
  <si>
    <t>МК-3443-03 МАЗ</t>
  </si>
  <si>
    <t>Мусоровоз КО-440-2 ГАЗ</t>
  </si>
  <si>
    <t>3698,55м-час :10 х100</t>
  </si>
  <si>
    <t>Всего ТКО от населения</t>
  </si>
  <si>
    <t>Объем ТКО, тонн</t>
  </si>
  <si>
    <t>5. Расходы на захоронение (размещение)</t>
  </si>
  <si>
    <t>Контейнеры - 50 штук</t>
  </si>
  <si>
    <t>На 1-го человека в месяц</t>
  </si>
  <si>
    <t>Вышестеблиевского сельского</t>
  </si>
  <si>
    <t>поселения III  созыва 22.01.2018</t>
  </si>
  <si>
    <t xml:space="preserve">Утверждено ХС сессией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</si>
</sst>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2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u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75">
    <xf numFmtId="0" fontId="0" fillId="0" borderId="0" xfId="0"/>
    <xf numFmtId="0" fontId="2" fillId="0" borderId="6" xfId="0" applyFont="1" applyBorder="1"/>
    <xf numFmtId="0" fontId="2" fillId="0" borderId="8" xfId="0" applyFont="1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2" fontId="0" fillId="0" borderId="1" xfId="0" applyNumberFormat="1" applyBorder="1"/>
    <xf numFmtId="2" fontId="0" fillId="0" borderId="15" xfId="0" applyNumberFormat="1" applyBorder="1"/>
    <xf numFmtId="2" fontId="0" fillId="0" borderId="7" xfId="0" applyNumberFormat="1" applyBorder="1"/>
    <xf numFmtId="0" fontId="2" fillId="0" borderId="19" xfId="0" applyFont="1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0" fillId="0" borderId="25" xfId="0" applyBorder="1"/>
    <xf numFmtId="2" fontId="0" fillId="0" borderId="25" xfId="0" applyNumberFormat="1" applyBorder="1"/>
    <xf numFmtId="0" fontId="2" fillId="0" borderId="27" xfId="0" applyFont="1" applyBorder="1"/>
    <xf numFmtId="0" fontId="0" fillId="0" borderId="28" xfId="0" applyBorder="1"/>
    <xf numFmtId="2" fontId="0" fillId="0" borderId="28" xfId="0" applyNumberFormat="1" applyBorder="1"/>
    <xf numFmtId="2" fontId="0" fillId="0" borderId="29" xfId="0" applyNumberFormat="1" applyBorder="1"/>
    <xf numFmtId="0" fontId="0" fillId="0" borderId="32" xfId="0" applyBorder="1"/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Border="1" applyAlignment="1"/>
    <xf numFmtId="0" fontId="0" fillId="0" borderId="16" xfId="0" applyBorder="1" applyAlignment="1"/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6" xfId="0" applyBorder="1" applyAlignment="1"/>
    <xf numFmtId="0" fontId="0" fillId="0" borderId="39" xfId="0" applyBorder="1" applyAlignment="1"/>
    <xf numFmtId="0" fontId="0" fillId="0" borderId="27" xfId="0" applyBorder="1"/>
    <xf numFmtId="0" fontId="0" fillId="0" borderId="3" xfId="0" applyBorder="1"/>
    <xf numFmtId="0" fontId="0" fillId="0" borderId="4" xfId="0" applyBorder="1"/>
    <xf numFmtId="0" fontId="0" fillId="0" borderId="41" xfId="0" applyBorder="1" applyAlignment="1">
      <alignment wrapText="1"/>
    </xf>
    <xf numFmtId="0" fontId="0" fillId="0" borderId="45" xfId="0" applyBorder="1"/>
    <xf numFmtId="2" fontId="0" fillId="0" borderId="14" xfId="0" applyNumberFormat="1" applyBorder="1"/>
    <xf numFmtId="0" fontId="0" fillId="0" borderId="47" xfId="0" applyBorder="1"/>
    <xf numFmtId="0" fontId="0" fillId="0" borderId="40" xfId="0" applyBorder="1"/>
    <xf numFmtId="0" fontId="0" fillId="0" borderId="28" xfId="0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1" fontId="0" fillId="0" borderId="15" xfId="0" applyNumberFormat="1" applyBorder="1"/>
    <xf numFmtId="1" fontId="0" fillId="0" borderId="1" xfId="0" applyNumberFormat="1" applyBorder="1"/>
    <xf numFmtId="1" fontId="0" fillId="0" borderId="25" xfId="0" applyNumberFormat="1" applyBorder="1"/>
    <xf numFmtId="1" fontId="0" fillId="0" borderId="28" xfId="0" applyNumberFormat="1" applyBorder="1"/>
    <xf numFmtId="1" fontId="0" fillId="0" borderId="40" xfId="0" applyNumberFormat="1" applyBorder="1"/>
    <xf numFmtId="1" fontId="0" fillId="0" borderId="10" xfId="0" applyNumberFormat="1" applyBorder="1"/>
    <xf numFmtId="1" fontId="0" fillId="0" borderId="48" xfId="0" applyNumberFormat="1" applyBorder="1"/>
    <xf numFmtId="0" fontId="4" fillId="0" borderId="29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0" fillId="0" borderId="49" xfId="0" applyBorder="1"/>
    <xf numFmtId="0" fontId="0" fillId="0" borderId="9" xfId="0" applyBorder="1"/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2" xfId="0" applyBorder="1"/>
    <xf numFmtId="1" fontId="0" fillId="0" borderId="9" xfId="0" applyNumberFormat="1" applyBorder="1"/>
    <xf numFmtId="1" fontId="0" fillId="0" borderId="4" xfId="0" applyNumberFormat="1" applyBorder="1"/>
    <xf numFmtId="1" fontId="0" fillId="0" borderId="22" xfId="0" applyNumberFormat="1" applyBorder="1"/>
    <xf numFmtId="0" fontId="0" fillId="0" borderId="29" xfId="0" applyBorder="1" applyAlignment="1">
      <alignment vertical="top" wrapText="1"/>
    </xf>
    <xf numFmtId="1" fontId="0" fillId="0" borderId="49" xfId="0" applyNumberFormat="1" applyBorder="1"/>
    <xf numFmtId="1" fontId="0" fillId="0" borderId="5" xfId="0" applyNumberFormat="1" applyBorder="1"/>
    <xf numFmtId="1" fontId="0" fillId="0" borderId="29" xfId="0" applyNumberFormat="1" applyBorder="1"/>
    <xf numFmtId="1" fontId="0" fillId="0" borderId="0" xfId="0" applyNumberFormat="1"/>
    <xf numFmtId="0" fontId="4" fillId="0" borderId="27" xfId="0" applyFont="1" applyBorder="1"/>
    <xf numFmtId="0" fontId="0" fillId="0" borderId="8" xfId="0" applyBorder="1"/>
    <xf numFmtId="0" fontId="0" fillId="0" borderId="27" xfId="0" applyBorder="1" applyAlignment="1">
      <alignment horizontal="center" vertical="center"/>
    </xf>
    <xf numFmtId="164" fontId="0" fillId="0" borderId="0" xfId="0" applyNumberFormat="1"/>
    <xf numFmtId="1" fontId="0" fillId="0" borderId="23" xfId="0" applyNumberFormat="1" applyBorder="1"/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51" xfId="0" applyBorder="1"/>
    <xf numFmtId="0" fontId="5" fillId="0" borderId="0" xfId="0" applyFont="1" applyBorder="1" applyAlignment="1">
      <alignment horizontal="center" vertical="center"/>
    </xf>
    <xf numFmtId="1" fontId="0" fillId="0" borderId="7" xfId="0" applyNumberFormat="1" applyBorder="1"/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4" fontId="15" fillId="0" borderId="5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0" fillId="0" borderId="6" xfId="0" applyBorder="1"/>
    <xf numFmtId="1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4" fillId="0" borderId="50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6" xfId="0" applyBorder="1" applyAlignment="1">
      <alignment wrapText="1"/>
    </xf>
    <xf numFmtId="0" fontId="4" fillId="0" borderId="0" xfId="0" applyFont="1" applyBorder="1"/>
    <xf numFmtId="0" fontId="0" fillId="0" borderId="0" xfId="0" applyFont="1" applyBorder="1" applyAlignment="1">
      <alignment horizontal="right"/>
    </xf>
    <xf numFmtId="1" fontId="0" fillId="0" borderId="0" xfId="0" applyNumberFormat="1" applyBorder="1"/>
    <xf numFmtId="1" fontId="5" fillId="0" borderId="0" xfId="0" applyNumberFormat="1" applyFont="1"/>
    <xf numFmtId="0" fontId="5" fillId="0" borderId="0" xfId="0" applyFont="1"/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27" xfId="0" applyFont="1" applyBorder="1"/>
    <xf numFmtId="0" fontId="0" fillId="0" borderId="6" xfId="0" applyFill="1" applyBorder="1" applyAlignment="1">
      <alignment wrapText="1"/>
    </xf>
    <xf numFmtId="1" fontId="0" fillId="0" borderId="33" xfId="0" applyNumberFormat="1" applyBorder="1"/>
    <xf numFmtId="1" fontId="11" fillId="0" borderId="0" xfId="0" applyNumberFormat="1" applyFont="1"/>
    <xf numFmtId="0" fontId="11" fillId="0" borderId="28" xfId="0" applyFont="1" applyBorder="1"/>
    <xf numFmtId="0" fontId="4" fillId="0" borderId="28" xfId="0" applyFont="1" applyBorder="1"/>
    <xf numFmtId="1" fontId="4" fillId="0" borderId="29" xfId="0" applyNumberFormat="1" applyFont="1" applyBorder="1"/>
    <xf numFmtId="2" fontId="0" fillId="0" borderId="0" xfId="0" applyNumberFormat="1"/>
    <xf numFmtId="0" fontId="5" fillId="0" borderId="17" xfId="0" applyFont="1" applyBorder="1"/>
    <xf numFmtId="0" fontId="0" fillId="0" borderId="53" xfId="0" applyBorder="1"/>
    <xf numFmtId="1" fontId="11" fillId="0" borderId="2" xfId="0" applyNumberFormat="1" applyFont="1" applyBorder="1"/>
    <xf numFmtId="0" fontId="0" fillId="0" borderId="31" xfId="0" applyBorder="1" applyAlignment="1">
      <alignment vertical="top"/>
    </xf>
    <xf numFmtId="1" fontId="16" fillId="0" borderId="29" xfId="0" applyNumberFormat="1" applyFont="1" applyBorder="1"/>
    <xf numFmtId="10" fontId="0" fillId="0" borderId="1" xfId="0" applyNumberFormat="1" applyBorder="1"/>
    <xf numFmtId="1" fontId="5" fillId="0" borderId="29" xfId="0" applyNumberFormat="1" applyFont="1" applyBorder="1"/>
    <xf numFmtId="0" fontId="16" fillId="0" borderId="27" xfId="0" applyFont="1" applyBorder="1" applyAlignment="1">
      <alignment vertical="top"/>
    </xf>
    <xf numFmtId="1" fontId="16" fillId="0" borderId="29" xfId="0" applyNumberFormat="1" applyFont="1" applyBorder="1" applyAlignment="1">
      <alignment vertical="top"/>
    </xf>
    <xf numFmtId="0" fontId="5" fillId="0" borderId="28" xfId="0" applyFont="1" applyBorder="1"/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48" xfId="0" applyNumberFormat="1" applyBorder="1"/>
    <xf numFmtId="2" fontId="0" fillId="0" borderId="26" xfId="0" applyNumberFormat="1" applyBorder="1"/>
    <xf numFmtId="0" fontId="12" fillId="0" borderId="27" xfId="0" applyFont="1" applyBorder="1" applyAlignment="1">
      <alignment vertical="top"/>
    </xf>
    <xf numFmtId="0" fontId="0" fillId="0" borderId="7" xfId="0" applyBorder="1"/>
    <xf numFmtId="0" fontId="0" fillId="0" borderId="12" xfId="0" applyBorder="1" applyAlignment="1">
      <alignment vertical="top" wrapText="1"/>
    </xf>
    <xf numFmtId="1" fontId="0" fillId="0" borderId="43" xfId="0" applyNumberFormat="1" applyBorder="1"/>
    <xf numFmtId="1" fontId="0" fillId="0" borderId="12" xfId="0" applyNumberFormat="1" applyBorder="1"/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24" xfId="0" applyBorder="1"/>
    <xf numFmtId="0" fontId="0" fillId="0" borderId="26" xfId="0" applyBorder="1"/>
    <xf numFmtId="0" fontId="0" fillId="0" borderId="19" xfId="0" applyBorder="1"/>
    <xf numFmtId="0" fontId="0" fillId="0" borderId="6" xfId="0" applyBorder="1" applyAlignment="1">
      <alignment horizontal="center"/>
    </xf>
    <xf numFmtId="0" fontId="0" fillId="0" borderId="31" xfId="0" applyBorder="1"/>
    <xf numFmtId="0" fontId="5" fillId="0" borderId="8" xfId="0" applyFont="1" applyBorder="1"/>
    <xf numFmtId="1" fontId="11" fillId="0" borderId="10" xfId="0" applyNumberFormat="1" applyFont="1" applyBorder="1"/>
    <xf numFmtId="0" fontId="0" fillId="0" borderId="55" xfId="0" applyBorder="1"/>
    <xf numFmtId="0" fontId="0" fillId="0" borderId="56" xfId="0" applyBorder="1"/>
    <xf numFmtId="0" fontId="11" fillId="0" borderId="0" xfId="0" applyFont="1" applyBorder="1" applyAlignment="1">
      <alignment horizontal="center"/>
    </xf>
    <xf numFmtId="4" fontId="15" fillId="0" borderId="57" xfId="0" applyNumberFormat="1" applyFont="1" applyFill="1" applyBorder="1" applyAlignment="1">
      <alignment horizontal="right" vertical="top" wrapText="1"/>
    </xf>
    <xf numFmtId="4" fontId="15" fillId="0" borderId="58" xfId="0" applyNumberFormat="1" applyFont="1" applyFill="1" applyBorder="1" applyAlignment="1">
      <alignment horizontal="right" vertical="top" wrapText="1"/>
    </xf>
    <xf numFmtId="4" fontId="14" fillId="3" borderId="59" xfId="1" applyNumberFormat="1" applyFont="1" applyFill="1" applyBorder="1" applyAlignment="1">
      <alignment horizontal="right" vertical="top" wrapText="1"/>
    </xf>
    <xf numFmtId="4" fontId="14" fillId="3" borderId="0" xfId="1" applyNumberFormat="1" applyFont="1" applyFill="1" applyBorder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9" xfId="0" applyBorder="1"/>
    <xf numFmtId="0" fontId="18" fillId="0" borderId="27" xfId="0" applyFont="1" applyBorder="1"/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1" fontId="0" fillId="0" borderId="56" xfId="0" applyNumberFormat="1" applyBorder="1"/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vertical="top" wrapText="1"/>
    </xf>
    <xf numFmtId="0" fontId="2" fillId="0" borderId="50" xfId="0" applyFont="1" applyBorder="1"/>
    <xf numFmtId="1" fontId="19" fillId="0" borderId="23" xfId="0" applyNumberFormat="1" applyFont="1" applyBorder="1"/>
    <xf numFmtId="0" fontId="0" fillId="0" borderId="19" xfId="0" applyBorder="1" applyAlignment="1">
      <alignment wrapText="1"/>
    </xf>
    <xf numFmtId="0" fontId="0" fillId="0" borderId="55" xfId="0" applyBorder="1" applyAlignment="1">
      <alignment wrapText="1"/>
    </xf>
    <xf numFmtId="165" fontId="0" fillId="0" borderId="25" xfId="0" applyNumberFormat="1" applyBorder="1"/>
    <xf numFmtId="4" fontId="0" fillId="0" borderId="29" xfId="0" applyNumberFormat="1" applyBorder="1"/>
    <xf numFmtId="1" fontId="19" fillId="0" borderId="25" xfId="0" applyNumberFormat="1" applyFont="1" applyBorder="1"/>
    <xf numFmtId="1" fontId="19" fillId="0" borderId="26" xfId="0" applyNumberFormat="1" applyFont="1" applyBorder="1"/>
    <xf numFmtId="1" fontId="19" fillId="0" borderId="54" xfId="0" applyNumberFormat="1" applyFont="1" applyBorder="1"/>
    <xf numFmtId="0" fontId="5" fillId="0" borderId="0" xfId="0" applyFont="1" applyBorder="1"/>
    <xf numFmtId="0" fontId="17" fillId="0" borderId="0" xfId="0" applyFont="1" applyBorder="1"/>
    <xf numFmtId="0" fontId="0" fillId="0" borderId="33" xfId="0" applyBorder="1"/>
    <xf numFmtId="0" fontId="17" fillId="0" borderId="27" xfId="0" applyFont="1" applyBorder="1"/>
    <xf numFmtId="0" fontId="17" fillId="0" borderId="28" xfId="0" applyFont="1" applyBorder="1"/>
    <xf numFmtId="2" fontId="17" fillId="0" borderId="29" xfId="0" applyNumberFormat="1" applyFont="1" applyBorder="1"/>
    <xf numFmtId="0" fontId="0" fillId="0" borderId="0" xfId="0" applyBorder="1"/>
    <xf numFmtId="0" fontId="20" fillId="0" borderId="0" xfId="0" applyFont="1" applyAlignment="1">
      <alignment horizontal="center"/>
    </xf>
    <xf numFmtId="0" fontId="0" fillId="0" borderId="0" xfId="0"/>
    <xf numFmtId="0" fontId="20" fillId="0" borderId="0" xfId="0" applyFont="1"/>
    <xf numFmtId="0" fontId="17" fillId="0" borderId="0" xfId="0" applyFont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/>
    <xf numFmtId="0" fontId="17" fillId="0" borderId="0" xfId="0" applyFont="1"/>
    <xf numFmtId="0" fontId="4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1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justify" vertical="top" wrapText="1"/>
    </xf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60" xfId="0" applyBorder="1"/>
    <xf numFmtId="0" fontId="0" fillId="0" borderId="0" xfId="0"/>
    <xf numFmtId="0" fontId="0" fillId="0" borderId="56" xfId="0" applyBorder="1" applyAlignment="1">
      <alignment wrapText="1"/>
    </xf>
    <xf numFmtId="0" fontId="0" fillId="0" borderId="61" xfId="0" applyBorder="1"/>
    <xf numFmtId="0" fontId="0" fillId="0" borderId="49" xfId="0" applyBorder="1" applyAlignment="1">
      <alignment wrapText="1"/>
    </xf>
    <xf numFmtId="0" fontId="0" fillId="0" borderId="37" xfId="0" applyBorder="1" applyAlignment="1"/>
    <xf numFmtId="0" fontId="0" fillId="0" borderId="5" xfId="0" applyBorder="1" applyAlignment="1"/>
    <xf numFmtId="2" fontId="0" fillId="0" borderId="38" xfId="0" applyNumberFormat="1" applyBorder="1"/>
    <xf numFmtId="0" fontId="0" fillId="0" borderId="38" xfId="0" applyBorder="1" applyAlignment="1"/>
    <xf numFmtId="0" fontId="0" fillId="0" borderId="7" xfId="0" applyBorder="1" applyAlignment="1"/>
    <xf numFmtId="0" fontId="0" fillId="0" borderId="7" xfId="0" applyBorder="1" applyAlignment="1">
      <alignment horizontal="right"/>
    </xf>
    <xf numFmtId="2" fontId="0" fillId="0" borderId="11" xfId="0" applyNumberFormat="1" applyBorder="1"/>
    <xf numFmtId="2" fontId="0" fillId="0" borderId="62" xfId="0" applyNumberFormat="1" applyBorder="1"/>
    <xf numFmtId="2" fontId="2" fillId="0" borderId="0" xfId="0" applyNumberFormat="1" applyFont="1" applyBorder="1"/>
    <xf numFmtId="0" fontId="0" fillId="0" borderId="0" xfId="0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165228</xdr:colOff>
      <xdr:row>134</xdr:row>
      <xdr:rowOff>116633</xdr:rowOff>
    </xdr:from>
    <xdr:to>
      <xdr:col>2</xdr:col>
      <xdr:colOff>351842</xdr:colOff>
      <xdr:row>136</xdr:row>
      <xdr:rowOff>172617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5356" y="34290000"/>
          <a:ext cx="1187710" cy="4933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topLeftCell="A67" zoomScale="98" zoomScaleNormal="98" workbookViewId="0">
      <selection activeCell="F141" sqref="F141"/>
    </sheetView>
  </sheetViews>
  <sheetFormatPr defaultRowHeight="15"/>
  <cols>
    <col min="1" max="1" width="36.28515625" customWidth="1"/>
    <col min="2" max="2" width="15" customWidth="1"/>
    <col min="3" max="3" width="12.140625" customWidth="1"/>
    <col min="4" max="4" width="18.5703125" customWidth="1"/>
    <col min="5" max="5" width="14" customWidth="1"/>
    <col min="6" max="6" width="12.28515625" customWidth="1"/>
    <col min="7" max="7" width="12.5703125" customWidth="1"/>
    <col min="8" max="8" width="11.28515625" customWidth="1"/>
    <col min="9" max="9" width="12" customWidth="1"/>
    <col min="10" max="10" width="16.85546875" customWidth="1"/>
    <col min="11" max="12" width="9.85546875" bestFit="1" customWidth="1"/>
    <col min="14" max="14" width="20.5703125" customWidth="1"/>
  </cols>
  <sheetData>
    <row r="1" spans="1:8" s="204" customFormat="1" ht="15.75">
      <c r="E1" s="218" t="s">
        <v>143</v>
      </c>
      <c r="F1" s="218"/>
      <c r="G1" s="218"/>
      <c r="H1" s="218"/>
    </row>
    <row r="2" spans="1:8" s="204" customFormat="1" ht="15.75">
      <c r="E2" s="218" t="s">
        <v>141</v>
      </c>
      <c r="F2" s="218"/>
      <c r="G2" s="218"/>
      <c r="H2" s="218"/>
    </row>
    <row r="3" spans="1:8" s="204" customFormat="1" ht="13.5" customHeight="1">
      <c r="E3" s="218" t="s">
        <v>142</v>
      </c>
      <c r="F3" s="218"/>
      <c r="G3" s="218"/>
      <c r="H3" s="218"/>
    </row>
    <row r="4" spans="1:8" s="193" customFormat="1" ht="29.25" customHeight="1">
      <c r="A4" s="259" t="s">
        <v>118</v>
      </c>
      <c r="B4" s="260"/>
      <c r="C4" s="260"/>
      <c r="D4" s="260"/>
      <c r="E4" s="260"/>
      <c r="F4" s="260"/>
      <c r="G4" s="260"/>
      <c r="H4" s="260"/>
    </row>
    <row r="5" spans="1:8" ht="17.25" customHeight="1">
      <c r="A5" s="221" t="s">
        <v>98</v>
      </c>
      <c r="B5" s="221"/>
      <c r="C5" s="221"/>
      <c r="D5" s="221"/>
      <c r="E5" s="221"/>
      <c r="F5" s="221"/>
      <c r="G5" s="221"/>
    </row>
    <row r="6" spans="1:8" ht="16.5" customHeight="1">
      <c r="A6" s="220" t="s">
        <v>19</v>
      </c>
      <c r="B6" s="221"/>
      <c r="C6" s="221"/>
      <c r="D6" s="221"/>
      <c r="E6" s="221"/>
      <c r="F6" s="221"/>
      <c r="G6" s="221"/>
    </row>
    <row r="7" spans="1:8" ht="15.75" thickBot="1">
      <c r="A7" s="219" t="s">
        <v>99</v>
      </c>
      <c r="B7" s="219"/>
      <c r="C7" s="219"/>
      <c r="D7" s="219"/>
      <c r="E7" s="219"/>
      <c r="F7" s="219"/>
      <c r="G7" s="219"/>
    </row>
    <row r="8" spans="1:8">
      <c r="A8" s="243"/>
      <c r="B8" s="241" t="s">
        <v>0</v>
      </c>
      <c r="C8" s="239" t="s">
        <v>5</v>
      </c>
      <c r="D8" s="225" t="s">
        <v>1</v>
      </c>
      <c r="E8" s="225"/>
      <c r="F8" s="225" t="s">
        <v>2</v>
      </c>
      <c r="G8" s="245"/>
      <c r="H8" s="267" t="s">
        <v>11</v>
      </c>
    </row>
    <row r="9" spans="1:8" ht="15.75" thickBot="1">
      <c r="A9" s="244"/>
      <c r="B9" s="242"/>
      <c r="C9" s="240"/>
      <c r="D9" s="168" t="s">
        <v>3</v>
      </c>
      <c r="E9" s="168" t="s">
        <v>4</v>
      </c>
      <c r="F9" s="11" t="s">
        <v>3</v>
      </c>
      <c r="G9" s="35" t="s">
        <v>4</v>
      </c>
      <c r="H9" s="268"/>
    </row>
    <row r="10" spans="1:8" ht="31.5" customHeight="1">
      <c r="A10" s="173" t="s">
        <v>134</v>
      </c>
      <c r="B10" s="6">
        <v>3304</v>
      </c>
      <c r="C10" s="6">
        <v>440</v>
      </c>
      <c r="D10" s="6">
        <v>1.41</v>
      </c>
      <c r="E10" s="6">
        <v>1.41</v>
      </c>
      <c r="F10" s="6">
        <f>PRODUCT(D10,C10)</f>
        <v>620.4</v>
      </c>
      <c r="G10" s="36">
        <f>PRODUCT(C10,E10)</f>
        <v>620.4</v>
      </c>
      <c r="H10" s="38">
        <f>PRODUCT(C10,4)</f>
        <v>1760</v>
      </c>
    </row>
    <row r="11" spans="1:8" ht="15.75" thickBot="1">
      <c r="A11" s="174" t="s">
        <v>133</v>
      </c>
      <c r="B11" s="53">
        <v>3304</v>
      </c>
      <c r="C11" s="53">
        <v>207</v>
      </c>
      <c r="D11" s="53">
        <v>2.82</v>
      </c>
      <c r="E11" s="53">
        <v>5.64</v>
      </c>
      <c r="F11" s="6">
        <f>PRODUCT(D11,C11)</f>
        <v>583.74</v>
      </c>
      <c r="G11" s="36">
        <f>PRODUCT(C11,E11)</f>
        <v>1167.48</v>
      </c>
      <c r="H11" s="38">
        <f>PRODUCT(C11,4)</f>
        <v>828</v>
      </c>
    </row>
    <row r="12" spans="1:8" ht="16.5" thickBot="1">
      <c r="A12" s="15" t="s">
        <v>7</v>
      </c>
      <c r="B12" s="16">
        <f>SUM(B10:B11)</f>
        <v>6608</v>
      </c>
      <c r="C12" s="16">
        <f>SUM(C10:C11)</f>
        <v>647</v>
      </c>
      <c r="D12" s="16"/>
      <c r="E12" s="16"/>
      <c r="F12" s="17">
        <f>SUM(F10:F11)</f>
        <v>1204.1399999999999</v>
      </c>
      <c r="G12" s="37">
        <f>SUM(G10:G11)</f>
        <v>1787.88</v>
      </c>
      <c r="H12" s="39">
        <f>SUM(H10:H11)</f>
        <v>2588</v>
      </c>
    </row>
    <row r="13" spans="1:8" ht="15.75">
      <c r="A13" s="20"/>
      <c r="B13" s="21"/>
      <c r="C13" s="21"/>
      <c r="D13" s="21"/>
      <c r="E13" s="21"/>
      <c r="F13" s="22"/>
      <c r="G13" s="22"/>
    </row>
    <row r="14" spans="1:8" ht="16.5" thickBot="1">
      <c r="A14" s="231" t="s">
        <v>8</v>
      </c>
      <c r="B14" s="232"/>
      <c r="C14" s="232"/>
      <c r="D14" s="232"/>
      <c r="E14" s="232"/>
      <c r="F14" s="232"/>
      <c r="G14" s="232"/>
    </row>
    <row r="15" spans="1:8">
      <c r="A15" s="233"/>
      <c r="B15" s="235" t="s">
        <v>6</v>
      </c>
      <c r="C15" s="265" t="s">
        <v>5</v>
      </c>
      <c r="D15" s="225" t="s">
        <v>11</v>
      </c>
      <c r="E15" s="225" t="s">
        <v>12</v>
      </c>
      <c r="F15" s="227" t="s">
        <v>21</v>
      </c>
      <c r="G15" s="225" t="s">
        <v>2</v>
      </c>
      <c r="H15" s="269"/>
    </row>
    <row r="16" spans="1:8" ht="15.75" thickBot="1">
      <c r="A16" s="234"/>
      <c r="B16" s="236"/>
      <c r="C16" s="266"/>
      <c r="D16" s="226"/>
      <c r="E16" s="226"/>
      <c r="F16" s="228"/>
      <c r="G16" s="23" t="s">
        <v>3</v>
      </c>
      <c r="H16" s="24" t="s">
        <v>4</v>
      </c>
    </row>
    <row r="17" spans="1:10">
      <c r="A17" s="222" t="s">
        <v>9</v>
      </c>
      <c r="B17" s="223"/>
      <c r="C17" s="160"/>
      <c r="D17" s="160"/>
      <c r="E17" s="160"/>
      <c r="F17" s="160"/>
      <c r="G17" s="25"/>
      <c r="H17" s="30"/>
    </row>
    <row r="18" spans="1:10" ht="15.75">
      <c r="A18" s="1" t="s">
        <v>119</v>
      </c>
      <c r="B18" s="5">
        <v>1</v>
      </c>
      <c r="C18" s="5">
        <v>647</v>
      </c>
      <c r="D18" s="5">
        <f>PRODUCT(B18:C18)</f>
        <v>647</v>
      </c>
      <c r="E18" s="5">
        <v>26</v>
      </c>
      <c r="F18" s="5">
        <v>1.07</v>
      </c>
      <c r="G18" s="7">
        <f>PRODUCT(D18,1/E18,F18)</f>
        <v>26.626538461538466</v>
      </c>
      <c r="H18" s="9">
        <f>PRODUCT(G18,1.5)</f>
        <v>39.939807692307696</v>
      </c>
    </row>
    <row r="19" spans="1:10">
      <c r="A19" s="261" t="s">
        <v>10</v>
      </c>
      <c r="B19" s="262"/>
      <c r="C19" s="161"/>
      <c r="D19" s="161"/>
      <c r="E19" s="161"/>
      <c r="F19" s="21"/>
      <c r="G19" s="26"/>
      <c r="H19" s="31"/>
    </row>
    <row r="20" spans="1:10" ht="16.5" thickBot="1">
      <c r="A20" s="1" t="s">
        <v>120</v>
      </c>
      <c r="B20" s="5">
        <v>8</v>
      </c>
      <c r="C20" s="5">
        <v>647</v>
      </c>
      <c r="D20" s="5">
        <f>PRODUCT(B20:C20)</f>
        <v>5176</v>
      </c>
      <c r="E20" s="5">
        <v>42</v>
      </c>
      <c r="F20" s="5">
        <v>1.07</v>
      </c>
      <c r="G20" s="7">
        <f>PRODUCT(D20,1/E20,F20)</f>
        <v>131.86476190476191</v>
      </c>
      <c r="H20" s="9">
        <f>PRODUCT(G20,1.5)</f>
        <v>197.79714285714286</v>
      </c>
    </row>
    <row r="21" spans="1:10" ht="16.5" thickBot="1">
      <c r="A21" s="15" t="s">
        <v>7</v>
      </c>
      <c r="B21" s="16"/>
      <c r="C21" s="16"/>
      <c r="D21" s="16">
        <f>SUM(D18:D20)</f>
        <v>5823</v>
      </c>
      <c r="E21" s="16"/>
      <c r="F21" s="16"/>
      <c r="G21" s="17">
        <f>SUM(G17:G20)</f>
        <v>158.49130036630038</v>
      </c>
      <c r="H21" s="18">
        <f>SUM(H17:H20)</f>
        <v>237.73695054945057</v>
      </c>
    </row>
    <row r="23" spans="1:10" ht="16.5" thickBot="1">
      <c r="A23" s="231" t="s">
        <v>17</v>
      </c>
      <c r="B23" s="232"/>
      <c r="C23" s="232"/>
      <c r="D23" s="232"/>
      <c r="E23" s="232"/>
      <c r="F23" s="232"/>
      <c r="G23" s="232"/>
    </row>
    <row r="24" spans="1:10" ht="15" customHeight="1" thickBot="1">
      <c r="A24" s="233"/>
      <c r="B24" s="235" t="s">
        <v>6</v>
      </c>
      <c r="C24" s="265" t="s">
        <v>5</v>
      </c>
      <c r="D24" s="225" t="s">
        <v>11</v>
      </c>
      <c r="E24" s="225" t="s">
        <v>12</v>
      </c>
      <c r="F24" s="264" t="s">
        <v>21</v>
      </c>
      <c r="G24" s="237" t="s">
        <v>2</v>
      </c>
      <c r="H24" s="238"/>
    </row>
    <row r="25" spans="1:10" ht="15.75" thickBot="1">
      <c r="A25" s="234"/>
      <c r="B25" s="236"/>
      <c r="C25" s="266"/>
      <c r="D25" s="226"/>
      <c r="E25" s="226"/>
      <c r="F25" s="228"/>
      <c r="G25" s="207" t="s">
        <v>3</v>
      </c>
      <c r="H25" s="205" t="s">
        <v>4</v>
      </c>
    </row>
    <row r="26" spans="1:10">
      <c r="A26" s="222" t="s">
        <v>9</v>
      </c>
      <c r="B26" s="223"/>
      <c r="C26" s="27"/>
      <c r="D26" s="27"/>
      <c r="E26" s="27"/>
      <c r="F26" s="27"/>
      <c r="G26" s="208"/>
      <c r="H26" s="209"/>
    </row>
    <row r="27" spans="1:10" ht="15.75">
      <c r="A27" s="1" t="s">
        <v>121</v>
      </c>
      <c r="B27" s="5">
        <v>1</v>
      </c>
      <c r="C27" s="5">
        <v>324</v>
      </c>
      <c r="D27" s="5">
        <f>PRODUCT(B27:C27)</f>
        <v>324</v>
      </c>
      <c r="E27" s="5">
        <v>20</v>
      </c>
      <c r="F27" s="206">
        <v>1.07</v>
      </c>
      <c r="G27" s="210">
        <f>PRODUCT(D27,1/E27,F27)</f>
        <v>17.334</v>
      </c>
      <c r="H27" s="9">
        <v>17.329999999999998</v>
      </c>
    </row>
    <row r="28" spans="1:10" ht="20.25" customHeight="1">
      <c r="A28" s="1" t="s">
        <v>121</v>
      </c>
      <c r="B28" s="5">
        <v>10</v>
      </c>
      <c r="C28" s="5">
        <v>323</v>
      </c>
      <c r="D28" s="5">
        <f>PRODUCT(B28:C28)</f>
        <v>3230</v>
      </c>
      <c r="E28" s="5">
        <v>20</v>
      </c>
      <c r="F28" s="206">
        <v>1.07</v>
      </c>
      <c r="G28" s="210">
        <f>PRODUCT(D28,1/E28,F28)</f>
        <v>172.80500000000001</v>
      </c>
      <c r="H28" s="9">
        <v>172.81</v>
      </c>
    </row>
    <row r="29" spans="1:10" ht="13.5" customHeight="1">
      <c r="A29" s="261" t="s">
        <v>10</v>
      </c>
      <c r="B29" s="262"/>
      <c r="C29" s="28">
        <f>SUM(C27:C28)</f>
        <v>647</v>
      </c>
      <c r="D29" s="28"/>
      <c r="E29" s="28"/>
      <c r="G29" s="211"/>
      <c r="H29" s="212"/>
    </row>
    <row r="30" spans="1:10" ht="17.25" customHeight="1">
      <c r="A30" s="1" t="s">
        <v>120</v>
      </c>
      <c r="B30" s="29">
        <v>84</v>
      </c>
      <c r="C30" s="29">
        <v>324</v>
      </c>
      <c r="D30" s="5">
        <f>PRODUCT(B30:C30)</f>
        <v>27216</v>
      </c>
      <c r="E30" s="29">
        <v>30</v>
      </c>
      <c r="F30" s="206">
        <v>1.07</v>
      </c>
      <c r="G30" s="210">
        <f>PRODUCT(D30,1/E30,F30)</f>
        <v>970.70399999999995</v>
      </c>
      <c r="H30" s="213">
        <v>970.7</v>
      </c>
      <c r="J30" t="s">
        <v>100</v>
      </c>
    </row>
    <row r="31" spans="1:10" ht="18.75" customHeight="1" thickBot="1">
      <c r="A31" s="1" t="s">
        <v>121</v>
      </c>
      <c r="B31" s="5">
        <v>102</v>
      </c>
      <c r="C31" s="5">
        <v>323</v>
      </c>
      <c r="D31" s="5">
        <f>PRODUCT(B31:C31)</f>
        <v>32946</v>
      </c>
      <c r="E31" s="5">
        <v>30</v>
      </c>
      <c r="F31" s="206">
        <v>1.07</v>
      </c>
      <c r="G31" s="215">
        <f>PRODUCT(D31,1/E31,F31)</f>
        <v>1175.0740000000001</v>
      </c>
      <c r="H31" s="127">
        <v>1175.07</v>
      </c>
    </row>
    <row r="32" spans="1:10" ht="17.25" customHeight="1" thickBot="1">
      <c r="A32" s="15" t="s">
        <v>7</v>
      </c>
      <c r="B32" s="16"/>
      <c r="C32" s="195">
        <f>SUM(C30:C31)</f>
        <v>647</v>
      </c>
      <c r="D32" s="16">
        <f>SUM(D27:D31)</f>
        <v>63716</v>
      </c>
      <c r="E32" s="16"/>
      <c r="F32" s="4"/>
      <c r="G32" s="214">
        <f>SUM(G27:G31)</f>
        <v>2335.9169999999999</v>
      </c>
      <c r="H32" s="18">
        <f>SUM(H27:H31)</f>
        <v>2335.91</v>
      </c>
    </row>
    <row r="34" spans="1:7" ht="16.5" thickBot="1">
      <c r="A34" s="263" t="s">
        <v>24</v>
      </c>
      <c r="B34" s="263"/>
      <c r="C34" s="263"/>
      <c r="D34" s="263"/>
      <c r="E34" s="263"/>
      <c r="F34" s="263"/>
      <c r="G34" s="263"/>
    </row>
    <row r="35" spans="1:7" ht="60">
      <c r="A35" s="33"/>
      <c r="B35" s="133" t="s">
        <v>16</v>
      </c>
      <c r="C35" s="229" t="s">
        <v>122</v>
      </c>
      <c r="D35" s="230"/>
      <c r="E35" s="134" t="s">
        <v>18</v>
      </c>
      <c r="F35" s="135" t="s">
        <v>97</v>
      </c>
      <c r="G35" s="136" t="s">
        <v>2</v>
      </c>
    </row>
    <row r="36" spans="1:7">
      <c r="A36" s="139"/>
      <c r="B36" s="6"/>
      <c r="C36" s="6"/>
      <c r="D36" s="6"/>
      <c r="E36" s="8"/>
      <c r="F36" s="6"/>
      <c r="G36" s="126"/>
    </row>
    <row r="37" spans="1:7" ht="15.75">
      <c r="A37" s="1" t="s">
        <v>120</v>
      </c>
      <c r="B37" s="5">
        <f>SUM(H12,D21,D32)</f>
        <v>72127</v>
      </c>
      <c r="C37" s="5" t="s">
        <v>13</v>
      </c>
      <c r="D37" s="5">
        <v>0.189</v>
      </c>
      <c r="E37" s="5"/>
      <c r="F37" s="5"/>
      <c r="G37" s="129"/>
    </row>
    <row r="38" spans="1:7">
      <c r="A38" s="140" t="s">
        <v>135</v>
      </c>
      <c r="B38" s="5">
        <v>36985.5</v>
      </c>
      <c r="C38" s="5" t="s">
        <v>14</v>
      </c>
      <c r="D38" s="5">
        <v>0.14599999999999999</v>
      </c>
      <c r="E38" s="5"/>
      <c r="F38" s="5"/>
      <c r="G38" s="129"/>
    </row>
    <row r="39" spans="1:7" ht="15.75" thickBot="1">
      <c r="A39" s="137"/>
      <c r="B39" s="13"/>
      <c r="C39" s="13" t="s">
        <v>15</v>
      </c>
      <c r="D39" s="13">
        <v>1.0900000000000001</v>
      </c>
      <c r="E39" s="13"/>
      <c r="F39" s="13"/>
      <c r="G39" s="138"/>
    </row>
    <row r="40" spans="1:7" ht="18.75" customHeight="1" thickBot="1">
      <c r="A40" s="32" t="s">
        <v>7</v>
      </c>
      <c r="B40" s="16">
        <f>SUM(B37:B39)</f>
        <v>109112.5</v>
      </c>
      <c r="C40" s="16"/>
      <c r="D40" s="16">
        <f>SUM(D37:D39)</f>
        <v>1.425</v>
      </c>
      <c r="E40" s="17">
        <f>PRODUCT(B40,D40,1/100000)</f>
        <v>1.5548531250000002</v>
      </c>
      <c r="F40" s="16">
        <v>1970</v>
      </c>
      <c r="G40" s="18">
        <f>PRODUCT(E40:F40)</f>
        <v>3063.0606562500002</v>
      </c>
    </row>
    <row r="41" spans="1:7">
      <c r="A41" s="21"/>
      <c r="B41" s="21"/>
      <c r="C41" s="21"/>
      <c r="D41" s="21"/>
      <c r="E41" s="22"/>
      <c r="F41" s="21"/>
      <c r="G41" s="22"/>
    </row>
    <row r="42" spans="1:7" ht="35.25" customHeight="1" thickBot="1">
      <c r="A42" s="247" t="s">
        <v>56</v>
      </c>
      <c r="B42" s="247"/>
      <c r="C42" s="247"/>
      <c r="D42" s="247"/>
      <c r="E42" s="247"/>
      <c r="F42" s="21"/>
      <c r="G42" s="22"/>
    </row>
    <row r="43" spans="1:7" ht="32.25" thickBot="1">
      <c r="A43" s="256" t="s">
        <v>58</v>
      </c>
      <c r="B43" s="257"/>
      <c r="C43" s="79" t="s">
        <v>59</v>
      </c>
      <c r="D43" s="80" t="s">
        <v>60</v>
      </c>
      <c r="E43" s="77"/>
      <c r="F43" s="21"/>
      <c r="G43" s="22"/>
    </row>
    <row r="44" spans="1:7" ht="15.75" customHeight="1">
      <c r="A44" s="248" t="s">
        <v>22</v>
      </c>
      <c r="B44" s="249"/>
      <c r="C44" s="7">
        <v>3698.55</v>
      </c>
      <c r="D44" s="9">
        <f>PRODUCT(C44,1/1970)</f>
        <v>1.8774365482233504</v>
      </c>
    </row>
    <row r="45" spans="1:7">
      <c r="A45" s="250" t="s">
        <v>25</v>
      </c>
      <c r="B45" s="251"/>
      <c r="C45" s="7">
        <v>3063.06</v>
      </c>
      <c r="D45" s="9">
        <f>PRODUCT(C45,1/1970)</f>
        <v>1.5548527918781727</v>
      </c>
    </row>
    <row r="46" spans="1:7" ht="16.5" customHeight="1" thickBot="1">
      <c r="A46" s="252" t="s">
        <v>23</v>
      </c>
      <c r="B46" s="253"/>
      <c r="C46" s="175">
        <v>4361.53</v>
      </c>
      <c r="D46" s="127">
        <f>PRODUCT(C46,1/1970)</f>
        <v>2.2139746192893401</v>
      </c>
    </row>
    <row r="47" spans="1:7" ht="21.75" customHeight="1" thickBot="1">
      <c r="A47" s="254" t="s">
        <v>57</v>
      </c>
      <c r="B47" s="255"/>
      <c r="C47" s="17">
        <f>SUM(C44:C46)</f>
        <v>11123.14</v>
      </c>
      <c r="D47" s="176">
        <f>SUM(D44:D46)</f>
        <v>5.646263959390863</v>
      </c>
    </row>
    <row r="48" spans="1:7" ht="18.75" customHeight="1">
      <c r="A48" s="21"/>
      <c r="B48" s="21"/>
      <c r="C48" s="21"/>
      <c r="D48" s="21"/>
      <c r="E48" s="21"/>
      <c r="F48" s="21"/>
      <c r="G48" s="22"/>
    </row>
    <row r="49" spans="1:10" ht="16.5" thickBot="1">
      <c r="A49" s="220" t="s">
        <v>20</v>
      </c>
      <c r="B49" s="220"/>
      <c r="C49" s="220"/>
      <c r="D49" s="220"/>
      <c r="E49" s="220"/>
      <c r="F49" s="220"/>
      <c r="G49" s="220"/>
    </row>
    <row r="50" spans="1:10" ht="60.75" thickBot="1">
      <c r="A50" s="32"/>
      <c r="B50" s="40" t="s">
        <v>26</v>
      </c>
      <c r="C50" s="40" t="s">
        <v>28</v>
      </c>
      <c r="D50" s="41" t="s">
        <v>29</v>
      </c>
      <c r="E50" s="71" t="s">
        <v>103</v>
      </c>
      <c r="F50" s="41"/>
      <c r="G50" s="42" t="s">
        <v>30</v>
      </c>
      <c r="H50" s="61" t="s">
        <v>33</v>
      </c>
      <c r="I50" s="130" t="s">
        <v>31</v>
      </c>
      <c r="J50" s="51" t="s">
        <v>32</v>
      </c>
    </row>
    <row r="51" spans="1:10">
      <c r="A51" s="123" t="s">
        <v>22</v>
      </c>
      <c r="B51" s="7">
        <v>3698.55</v>
      </c>
      <c r="C51" s="7">
        <v>170</v>
      </c>
      <c r="D51" s="45">
        <f>PRODUCT(B51,C51)</f>
        <v>628753.5</v>
      </c>
      <c r="E51" s="44">
        <f>PRODUCT(D51,0.4)</f>
        <v>251501.40000000002</v>
      </c>
      <c r="F51" s="44">
        <f>SUM(D51:E51)</f>
        <v>880254.9</v>
      </c>
      <c r="G51" s="44">
        <f>PRODUCT(F51,7.7/100)</f>
        <v>67779.627300000007</v>
      </c>
      <c r="H51" s="50">
        <f>SUM(F51:G51)</f>
        <v>948034.52730000007</v>
      </c>
      <c r="I51" s="131">
        <f>PRODUCT(H51,0.203)</f>
        <v>192451.00904190002</v>
      </c>
      <c r="J51" s="50">
        <f>SUM(H51:I51)</f>
        <v>1140485.5363419</v>
      </c>
    </row>
    <row r="52" spans="1:10">
      <c r="A52" s="124" t="s">
        <v>25</v>
      </c>
      <c r="B52" s="7">
        <v>3063.06</v>
      </c>
      <c r="C52" s="7">
        <v>110</v>
      </c>
      <c r="D52" s="45">
        <f>PRODUCT(B52,C52)</f>
        <v>336936.6</v>
      </c>
      <c r="E52" s="44">
        <f>PRODUCT(D52,0.4)</f>
        <v>134774.63999999998</v>
      </c>
      <c r="F52" s="44">
        <f>SUM(D52:E52)</f>
        <v>471711.24</v>
      </c>
      <c r="G52" s="44">
        <f>PRODUCT(F52,7.7/100)</f>
        <v>36321.765480000002</v>
      </c>
      <c r="H52" s="50">
        <f>SUM(F52:G52)</f>
        <v>508033.00547999999</v>
      </c>
      <c r="I52" s="131">
        <f>PRODUCT(H52,0.203)</f>
        <v>103130.70011244001</v>
      </c>
      <c r="J52" s="50">
        <f>SUM(H52:I52)</f>
        <v>611163.70559243998</v>
      </c>
    </row>
    <row r="53" spans="1:10" ht="16.5" customHeight="1">
      <c r="A53" s="123" t="s">
        <v>23</v>
      </c>
      <c r="B53" s="175">
        <v>4361.53</v>
      </c>
      <c r="C53" s="7">
        <v>100</v>
      </c>
      <c r="D53" s="45">
        <f>PRODUCT(B53,C53)</f>
        <v>436153</v>
      </c>
      <c r="E53" s="44">
        <f>PRODUCT(D53,0.4)</f>
        <v>174461.2</v>
      </c>
      <c r="F53" s="44">
        <f>SUM(D53:E53)</f>
        <v>610614.19999999995</v>
      </c>
      <c r="G53" s="44">
        <f>PRODUCT(F53,7.7/100)</f>
        <v>47017.293399999995</v>
      </c>
      <c r="H53" s="50">
        <f>SUM(F53:G53)</f>
        <v>657631.49339999992</v>
      </c>
      <c r="I53" s="131">
        <f>PRODUCT(H53,0.203)</f>
        <v>133499.1931602</v>
      </c>
      <c r="J53" s="50">
        <f>SUM(H53:I53)</f>
        <v>791130.68656019995</v>
      </c>
    </row>
    <row r="54" spans="1:10" ht="14.25" customHeight="1" thickBot="1">
      <c r="A54" s="125"/>
      <c r="B54" s="13"/>
      <c r="C54" s="14"/>
      <c r="D54" s="46"/>
      <c r="E54" s="46"/>
      <c r="F54" s="177">
        <f>SUM(F51:F53)</f>
        <v>1962580.34</v>
      </c>
      <c r="G54" s="177">
        <f>SUM(G51:G53)</f>
        <v>151118.68618000002</v>
      </c>
      <c r="H54" s="178">
        <f>SUM(H51:H53)</f>
        <v>2113699.02618</v>
      </c>
      <c r="I54" s="179">
        <f>SUM(I51:I53)</f>
        <v>429080.90231454</v>
      </c>
      <c r="J54" s="178">
        <f>SUM(J51:J53)</f>
        <v>2542779.92849454</v>
      </c>
    </row>
    <row r="55" spans="1:10" ht="15.75" thickBot="1">
      <c r="A55" s="32" t="s">
        <v>27</v>
      </c>
      <c r="B55" s="16">
        <f>SUM(B51:B53)</f>
        <v>11123.14</v>
      </c>
      <c r="C55" s="17"/>
      <c r="D55" s="47">
        <f>SUM(D51:D54)</f>
        <v>1401843.1</v>
      </c>
      <c r="E55" s="47">
        <f>SUM(E51:E54)</f>
        <v>560737.24</v>
      </c>
      <c r="F55" s="47">
        <f>SUM(D55:E55)</f>
        <v>1962580.34</v>
      </c>
      <c r="G55" s="47">
        <f>PRODUCT(F55,7.7/100)</f>
        <v>151118.68618000002</v>
      </c>
      <c r="H55" s="64">
        <f>SUM(F55:G55)</f>
        <v>2113699.02618</v>
      </c>
      <c r="I55" s="132">
        <f>PRODUCT(H55,0.203)</f>
        <v>429080.90231454006</v>
      </c>
      <c r="J55" s="48">
        <f>SUM(H55:I55)</f>
        <v>2542779.92849454</v>
      </c>
    </row>
    <row r="57" spans="1:10" ht="18" customHeight="1">
      <c r="A57" s="74"/>
    </row>
    <row r="58" spans="1:10" ht="12.75" customHeight="1">
      <c r="A58" s="52" t="s">
        <v>34</v>
      </c>
      <c r="B58" s="52"/>
      <c r="C58" s="52"/>
      <c r="D58" s="52"/>
      <c r="E58" s="52"/>
      <c r="F58" s="52"/>
      <c r="G58" s="52"/>
      <c r="H58" s="52"/>
    </row>
    <row r="59" spans="1:10" ht="16.5" thickBot="1">
      <c r="H59" s="52"/>
      <c r="I59" s="21"/>
    </row>
    <row r="60" spans="1:10" ht="45.75" thickBot="1">
      <c r="A60" s="55"/>
      <c r="B60" s="42" t="s">
        <v>39</v>
      </c>
      <c r="C60" s="42" t="s">
        <v>38</v>
      </c>
      <c r="D60" s="42" t="s">
        <v>40</v>
      </c>
      <c r="E60" s="42" t="s">
        <v>35</v>
      </c>
      <c r="F60" s="42" t="s">
        <v>41</v>
      </c>
      <c r="G60" s="42" t="s">
        <v>86</v>
      </c>
      <c r="H60" s="61" t="s">
        <v>42</v>
      </c>
      <c r="I60" s="76"/>
    </row>
    <row r="61" spans="1:10" ht="18" customHeight="1" thickBot="1">
      <c r="A61" s="169" t="s">
        <v>101</v>
      </c>
      <c r="B61" s="134">
        <v>19479</v>
      </c>
      <c r="C61" s="134">
        <v>40</v>
      </c>
      <c r="D61" s="57">
        <f t="shared" ref="D61:D64" si="0">PRODUCT(B61:C61)</f>
        <v>779160</v>
      </c>
      <c r="E61" s="34">
        <v>44.65</v>
      </c>
      <c r="F61" s="59">
        <f>PRODUCT(D61,E61,1/100)</f>
        <v>347894.94</v>
      </c>
      <c r="G61" s="59">
        <f>PRODUCT(F61,0.094+J57)</f>
        <v>32702.124360000002</v>
      </c>
      <c r="H61" s="63">
        <f t="shared" ref="H61:H66" si="1">SUM(F61,G61)</f>
        <v>380597.06436000002</v>
      </c>
      <c r="I61" s="76"/>
    </row>
    <row r="62" spans="1:10" ht="16.5" thickBot="1">
      <c r="A62" s="2" t="s">
        <v>37</v>
      </c>
      <c r="B62" s="170">
        <v>182</v>
      </c>
      <c r="C62" s="170">
        <v>6.3</v>
      </c>
      <c r="D62" s="57">
        <f t="shared" si="0"/>
        <v>1146.5999999999999</v>
      </c>
      <c r="E62" s="54">
        <v>44.65</v>
      </c>
      <c r="F62" s="60">
        <f>PRODUCT(D62,E62,1/100)</f>
        <v>511.95689999999996</v>
      </c>
      <c r="G62" s="60">
        <f t="shared" ref="G62:G64" si="2">PRODUCT(F62,0.094+J58)</f>
        <v>48.123948599999999</v>
      </c>
      <c r="H62" s="70">
        <f t="shared" si="1"/>
        <v>560.08084859999997</v>
      </c>
      <c r="I62" s="76"/>
    </row>
    <row r="63" spans="1:10" ht="22.5" customHeight="1">
      <c r="A63" s="10" t="s">
        <v>36</v>
      </c>
      <c r="B63" s="6">
        <v>41635</v>
      </c>
      <c r="C63" s="6">
        <v>19.399999999999999</v>
      </c>
      <c r="D63" s="6">
        <f t="shared" si="0"/>
        <v>807718.99999999988</v>
      </c>
      <c r="E63" s="6">
        <v>44.65</v>
      </c>
      <c r="F63" s="44">
        <f>PRODUCT(D63,E63,1/100)</f>
        <v>360646.53349999996</v>
      </c>
      <c r="G63" s="44">
        <f t="shared" si="2"/>
        <v>33900.774148999997</v>
      </c>
      <c r="H63" s="50">
        <f t="shared" si="1"/>
        <v>394547.30764899997</v>
      </c>
      <c r="I63" s="76"/>
    </row>
    <row r="64" spans="1:10" ht="18" customHeight="1">
      <c r="A64" s="12" t="s">
        <v>37</v>
      </c>
      <c r="B64" s="13">
        <v>389</v>
      </c>
      <c r="C64" s="13">
        <v>4.2</v>
      </c>
      <c r="D64" s="53">
        <f t="shared" si="0"/>
        <v>1633.8000000000002</v>
      </c>
      <c r="E64" s="13">
        <v>44.65</v>
      </c>
      <c r="F64" s="62">
        <f>PRODUCT(D64,E64)</f>
        <v>72949.170000000013</v>
      </c>
      <c r="G64" s="62">
        <f t="shared" si="2"/>
        <v>6857.2219800000012</v>
      </c>
      <c r="H64" s="167">
        <f t="shared" si="1"/>
        <v>79806.391980000015</v>
      </c>
      <c r="I64" s="76"/>
    </row>
    <row r="65" spans="1:9" ht="12" customHeight="1" thickBot="1">
      <c r="A65" s="171"/>
      <c r="B65" s="57"/>
      <c r="C65" s="57"/>
      <c r="D65" s="57"/>
      <c r="E65" s="57"/>
      <c r="F65" s="60"/>
      <c r="G65" s="60"/>
      <c r="H65" s="172">
        <f>SUM(H61:H64)</f>
        <v>855510.84483760013</v>
      </c>
    </row>
    <row r="66" spans="1:9" ht="14.25" customHeight="1" thickBot="1">
      <c r="A66" s="66" t="s">
        <v>27</v>
      </c>
      <c r="B66" s="16"/>
      <c r="C66" s="16"/>
      <c r="D66" s="16"/>
      <c r="E66" s="16"/>
      <c r="F66" s="47">
        <f>SUM(F61:F64)</f>
        <v>782002.6004</v>
      </c>
      <c r="G66" s="47">
        <f>SUM(G61:G64)</f>
        <v>73508.244437600006</v>
      </c>
      <c r="H66" s="64">
        <f t="shared" si="1"/>
        <v>855510.84483760002</v>
      </c>
      <c r="I66" s="75"/>
    </row>
    <row r="67" spans="1:9" ht="10.5" customHeight="1"/>
    <row r="68" spans="1:9" ht="16.5" thickBot="1">
      <c r="A68" s="258" t="s">
        <v>43</v>
      </c>
      <c r="B68" s="258"/>
      <c r="C68" s="258"/>
      <c r="D68" s="258"/>
      <c r="E68" s="52"/>
      <c r="F68" s="146"/>
      <c r="G68" s="146"/>
      <c r="H68" s="146"/>
    </row>
    <row r="69" spans="1:9" ht="45.75" thickBot="1">
      <c r="A69" s="68" t="s">
        <v>44</v>
      </c>
      <c r="B69" s="42" t="s">
        <v>45</v>
      </c>
      <c r="C69" s="42" t="s">
        <v>46</v>
      </c>
      <c r="D69" s="61" t="s">
        <v>47</v>
      </c>
      <c r="F69" s="21"/>
      <c r="G69" s="21"/>
      <c r="H69" s="21"/>
    </row>
    <row r="70" spans="1:9" ht="15.75" thickBot="1">
      <c r="A70" s="33" t="s">
        <v>139</v>
      </c>
      <c r="B70" s="34">
        <v>185000</v>
      </c>
      <c r="C70" s="34">
        <v>11.1</v>
      </c>
      <c r="D70" s="63">
        <f>PRODUCT(B70:C70,0.01)</f>
        <v>20535</v>
      </c>
      <c r="F70" s="21"/>
      <c r="G70" s="21"/>
      <c r="H70" s="100"/>
    </row>
    <row r="71" spans="1:9" ht="15.75" thickBot="1">
      <c r="A71" s="66" t="s">
        <v>27</v>
      </c>
      <c r="B71" s="16"/>
      <c r="C71" s="16"/>
      <c r="D71" s="64">
        <f>SUM(D70:D70)</f>
        <v>20535</v>
      </c>
      <c r="F71" s="21"/>
      <c r="G71" s="21"/>
      <c r="H71" s="21"/>
    </row>
    <row r="72" spans="1:9">
      <c r="F72" s="21"/>
      <c r="G72" s="21"/>
      <c r="H72" s="21"/>
    </row>
    <row r="73" spans="1:9" ht="16.5" thickBot="1">
      <c r="A73" s="258" t="s">
        <v>138</v>
      </c>
      <c r="B73" s="258"/>
      <c r="C73" s="258"/>
      <c r="D73" s="258"/>
      <c r="E73" s="52"/>
      <c r="F73" s="146"/>
      <c r="G73" s="146"/>
      <c r="H73" s="146"/>
    </row>
    <row r="74" spans="1:9" ht="30.75" thickBot="1">
      <c r="A74" s="32"/>
      <c r="B74" s="41" t="s">
        <v>137</v>
      </c>
      <c r="C74" s="71" t="s">
        <v>48</v>
      </c>
      <c r="D74" s="56" t="s">
        <v>49</v>
      </c>
      <c r="F74" s="21"/>
      <c r="G74" s="21"/>
      <c r="H74" s="21"/>
    </row>
    <row r="75" spans="1:9">
      <c r="A75" s="6" t="s">
        <v>136</v>
      </c>
      <c r="B75" s="6">
        <v>1652</v>
      </c>
      <c r="C75" s="6">
        <v>390.33</v>
      </c>
      <c r="D75" s="6">
        <f>PRODUCT(C75,B75)</f>
        <v>644825.15999999992</v>
      </c>
      <c r="F75" s="21"/>
      <c r="G75" s="21"/>
      <c r="H75" s="21"/>
    </row>
    <row r="76" spans="1:9">
      <c r="A76" s="5"/>
      <c r="B76" s="5"/>
      <c r="C76" s="7"/>
      <c r="D76" s="7"/>
      <c r="F76" s="21"/>
      <c r="G76" s="21"/>
      <c r="H76" s="21"/>
    </row>
    <row r="77" spans="1:9" ht="15.75" thickBot="1">
      <c r="A77" s="13"/>
      <c r="B77" s="13"/>
      <c r="C77" s="13"/>
      <c r="D77" s="13"/>
      <c r="F77" s="21"/>
      <c r="G77" s="21"/>
      <c r="H77" s="21"/>
    </row>
    <row r="78" spans="1:9" ht="15.75" thickBot="1">
      <c r="A78" s="32"/>
      <c r="B78" s="16"/>
      <c r="C78" s="16"/>
      <c r="D78" s="162">
        <f>SUM(D75:D77)</f>
        <v>644825.15999999992</v>
      </c>
      <c r="F78" s="21"/>
      <c r="G78" s="21"/>
      <c r="H78" s="21"/>
    </row>
    <row r="79" spans="1:9" s="188" customFormat="1">
      <c r="A79" s="186"/>
      <c r="B79" s="186"/>
      <c r="C79" s="186"/>
      <c r="D79" s="186"/>
      <c r="F79" s="186"/>
      <c r="G79" s="186"/>
      <c r="H79" s="186"/>
    </row>
    <row r="80" spans="1:9" s="188" customFormat="1">
      <c r="A80" s="186"/>
      <c r="B80" s="186"/>
      <c r="C80" s="186"/>
      <c r="D80" s="186"/>
      <c r="F80" s="186"/>
      <c r="G80" s="186"/>
      <c r="H80" s="186"/>
    </row>
    <row r="81" spans="1:9" s="188" customFormat="1">
      <c r="A81" s="186"/>
      <c r="B81" s="186"/>
      <c r="C81" s="186"/>
      <c r="D81" s="186"/>
      <c r="F81" s="186"/>
      <c r="G81" s="186"/>
      <c r="H81" s="186"/>
    </row>
    <row r="82" spans="1:9" ht="16.5" thickBot="1">
      <c r="A82" s="224" t="s">
        <v>50</v>
      </c>
      <c r="B82" s="224"/>
      <c r="C82" s="224"/>
      <c r="D82" s="224"/>
    </row>
    <row r="83" spans="1:9" ht="60.75" thickBot="1">
      <c r="A83" s="163"/>
      <c r="B83" s="164" t="s">
        <v>51</v>
      </c>
      <c r="C83" s="165" t="s">
        <v>54</v>
      </c>
      <c r="D83" s="166" t="s">
        <v>52</v>
      </c>
      <c r="G83" s="21"/>
      <c r="H83" s="150"/>
    </row>
    <row r="84" spans="1:9" ht="16.5" customHeight="1" thickBot="1">
      <c r="A84" s="32" t="s">
        <v>53</v>
      </c>
      <c r="B84" s="16">
        <v>2113599</v>
      </c>
      <c r="C84" s="16">
        <v>0.19400000000000001</v>
      </c>
      <c r="D84" s="64">
        <f>PRODUCT(B84,C84)</f>
        <v>410038.20600000001</v>
      </c>
      <c r="G84" s="21"/>
      <c r="H84" s="21"/>
    </row>
    <row r="85" spans="1:9" ht="18" customHeight="1">
      <c r="G85" s="21"/>
      <c r="H85" s="21"/>
      <c r="I85" s="69"/>
    </row>
    <row r="86" spans="1:9" ht="17.25" customHeight="1" thickBot="1">
      <c r="A86" s="224" t="s">
        <v>55</v>
      </c>
      <c r="B86" s="224"/>
      <c r="C86" s="224"/>
      <c r="D86" s="224"/>
      <c r="G86" s="21"/>
      <c r="H86" s="150"/>
      <c r="I86" s="149"/>
    </row>
    <row r="87" spans="1:9" ht="60.75" thickBot="1">
      <c r="A87" s="88" t="s">
        <v>65</v>
      </c>
      <c r="B87" s="89" t="s">
        <v>67</v>
      </c>
      <c r="C87" s="89" t="s">
        <v>66</v>
      </c>
      <c r="D87" s="89" t="s">
        <v>68</v>
      </c>
      <c r="E87" s="90" t="s">
        <v>69</v>
      </c>
      <c r="F87" s="52"/>
      <c r="G87" s="146"/>
      <c r="H87" s="21"/>
    </row>
    <row r="88" spans="1:9" ht="31.5" customHeight="1">
      <c r="A88" s="83" t="s">
        <v>63</v>
      </c>
      <c r="B88" s="59">
        <v>6</v>
      </c>
      <c r="C88" s="94">
        <v>24</v>
      </c>
      <c r="D88" s="95">
        <v>39</v>
      </c>
      <c r="E88" s="63">
        <f>PRODUCT(B88,C88,D88)</f>
        <v>5616</v>
      </c>
      <c r="G88" s="21"/>
      <c r="H88" s="21"/>
    </row>
    <row r="89" spans="1:9" ht="14.25" customHeight="1">
      <c r="A89" s="84" t="s">
        <v>61</v>
      </c>
      <c r="B89" s="45">
        <v>6</v>
      </c>
      <c r="C89" s="81">
        <v>1</v>
      </c>
      <c r="D89" s="92">
        <v>1060</v>
      </c>
      <c r="E89" s="78">
        <f>PRODUCT(B89,C89,D89)</f>
        <v>6360</v>
      </c>
      <c r="G89" s="21"/>
      <c r="H89" s="21"/>
    </row>
    <row r="90" spans="1:9" ht="18.75" customHeight="1">
      <c r="A90" s="85" t="s">
        <v>62</v>
      </c>
      <c r="B90" s="86">
        <v>6</v>
      </c>
      <c r="C90" s="81">
        <v>1</v>
      </c>
      <c r="D90" s="92">
        <v>560</v>
      </c>
      <c r="E90" s="78">
        <f>PRODUCT(B90,C90,D90)</f>
        <v>3360</v>
      </c>
      <c r="F90" s="147"/>
      <c r="G90" s="151"/>
      <c r="H90" s="151"/>
    </row>
    <row r="91" spans="1:9" ht="28.5" customHeight="1">
      <c r="A91" s="97" t="s">
        <v>71</v>
      </c>
      <c r="B91" s="87">
        <v>6</v>
      </c>
      <c r="C91" s="92" t="s">
        <v>70</v>
      </c>
      <c r="D91" s="92">
        <v>2620</v>
      </c>
      <c r="E91" s="78">
        <f>PRODUCT(B91,C91,D91)</f>
        <v>15720</v>
      </c>
      <c r="G91" s="21"/>
      <c r="H91" s="21"/>
    </row>
    <row r="92" spans="1:9" ht="15.75" thickBot="1">
      <c r="A92" s="67" t="s">
        <v>64</v>
      </c>
      <c r="B92" s="58">
        <v>6</v>
      </c>
      <c r="C92" s="93">
        <v>0.33</v>
      </c>
      <c r="D92" s="93">
        <v>1750</v>
      </c>
      <c r="E92" s="49">
        <f>PRODUCT(B92,C92,D92)</f>
        <v>3465</v>
      </c>
      <c r="G92" s="21"/>
      <c r="H92" s="21"/>
    </row>
    <row r="93" spans="1:9" ht="27.75" customHeight="1" thickBot="1">
      <c r="A93" s="91" t="s">
        <v>33</v>
      </c>
      <c r="B93" s="57"/>
      <c r="C93" s="96"/>
      <c r="D93" s="96"/>
      <c r="E93" s="70">
        <f>SUM(E88:E92)</f>
        <v>34521</v>
      </c>
      <c r="G93" s="21"/>
      <c r="H93" s="21"/>
      <c r="I93">
        <v>1.7000000000000001E-2</v>
      </c>
    </row>
    <row r="94" spans="1:9">
      <c r="A94" s="98"/>
      <c r="B94" s="21"/>
      <c r="C94" s="99"/>
      <c r="D94" s="99"/>
      <c r="E94" s="100"/>
      <c r="G94" s="21"/>
      <c r="H94" s="21"/>
    </row>
    <row r="95" spans="1:9" ht="16.5" thickBot="1">
      <c r="A95" s="224" t="s">
        <v>72</v>
      </c>
      <c r="B95" s="224"/>
      <c r="C95" s="224"/>
      <c r="D95" s="224"/>
      <c r="F95" s="148"/>
      <c r="G95" s="151"/>
      <c r="H95" s="21"/>
    </row>
    <row r="96" spans="1:9" ht="66" customHeight="1" thickBot="1">
      <c r="A96" s="32"/>
      <c r="B96" s="71" t="s">
        <v>51</v>
      </c>
      <c r="C96" s="72" t="s">
        <v>54</v>
      </c>
      <c r="D96" s="73" t="s">
        <v>76</v>
      </c>
      <c r="G96" s="21"/>
      <c r="H96" s="21"/>
    </row>
    <row r="97" spans="1:10" ht="22.5" customHeight="1" thickBot="1">
      <c r="A97" s="32" t="s">
        <v>73</v>
      </c>
      <c r="B97" s="16">
        <v>2113599</v>
      </c>
      <c r="C97" s="16">
        <v>3.5000000000000003E-2</v>
      </c>
      <c r="D97" s="64">
        <f>PRODUCT(B97,C97)</f>
        <v>73975.965000000011</v>
      </c>
      <c r="G97" s="21"/>
      <c r="H97" s="21"/>
    </row>
    <row r="98" spans="1:10" s="188" customFormat="1">
      <c r="A98" s="186"/>
      <c r="B98" s="186"/>
      <c r="C98" s="186"/>
      <c r="D98" s="100"/>
      <c r="G98" s="186"/>
      <c r="H98" s="186"/>
    </row>
    <row r="99" spans="1:10" s="188" customFormat="1">
      <c r="A99" s="186"/>
      <c r="B99" s="186"/>
      <c r="C99" s="186"/>
      <c r="D99" s="100"/>
      <c r="G99" s="186"/>
      <c r="H99" s="186"/>
    </row>
    <row r="100" spans="1:10" s="188" customFormat="1">
      <c r="A100" s="186"/>
      <c r="B100" s="186"/>
      <c r="C100" s="186"/>
      <c r="D100" s="100"/>
      <c r="G100" s="186"/>
      <c r="H100" s="186"/>
    </row>
    <row r="101" spans="1:10">
      <c r="G101" s="21"/>
      <c r="H101" s="21"/>
      <c r="I101" s="82"/>
    </row>
    <row r="102" spans="1:10" ht="16.5" thickBot="1">
      <c r="A102" s="224" t="s">
        <v>74</v>
      </c>
      <c r="B102" s="224"/>
      <c r="C102" s="224"/>
      <c r="D102" s="224"/>
      <c r="G102" s="21"/>
      <c r="H102" s="21"/>
    </row>
    <row r="103" spans="1:10" ht="18" customHeight="1" thickBot="1">
      <c r="A103" s="116"/>
      <c r="B103" s="103" t="s">
        <v>51</v>
      </c>
      <c r="C103" s="103" t="s">
        <v>87</v>
      </c>
      <c r="D103" s="104" t="s">
        <v>88</v>
      </c>
      <c r="G103" s="21"/>
      <c r="H103" s="21"/>
    </row>
    <row r="104" spans="1:10">
      <c r="A104" s="141" t="s">
        <v>75</v>
      </c>
      <c r="B104" s="19">
        <v>2113599</v>
      </c>
      <c r="C104" s="19">
        <v>2.5600000000000001E-2</v>
      </c>
      <c r="D104" s="107">
        <f>PRODUCT(B104:C104)</f>
        <v>54108.134400000003</v>
      </c>
      <c r="G104" s="21"/>
      <c r="H104" s="21"/>
    </row>
    <row r="105" spans="1:10" ht="16.5" customHeight="1">
      <c r="A105" s="85" t="s">
        <v>78</v>
      </c>
      <c r="B105" s="5">
        <v>2113599</v>
      </c>
      <c r="C105" s="5">
        <v>9.1000000000000004E-3</v>
      </c>
      <c r="D105" s="78">
        <f>PRODUCT(B105:C105)</f>
        <v>19233.750900000003</v>
      </c>
      <c r="G105" s="21"/>
      <c r="H105" s="21"/>
    </row>
    <row r="106" spans="1:10" ht="30">
      <c r="A106" s="97" t="s">
        <v>79</v>
      </c>
      <c r="B106" s="5">
        <v>2113599</v>
      </c>
      <c r="C106" s="5">
        <v>2.3999999999999998E-3</v>
      </c>
      <c r="D106" s="78">
        <f>PRODUCT(B106:C106)</f>
        <v>5072.6375999999991</v>
      </c>
      <c r="G106" s="21"/>
      <c r="H106" s="21"/>
    </row>
    <row r="107" spans="1:10">
      <c r="A107" s="97" t="s">
        <v>85</v>
      </c>
      <c r="B107" s="5">
        <v>2113599</v>
      </c>
      <c r="C107" s="5">
        <v>0.01</v>
      </c>
      <c r="D107" s="78">
        <f>PRODUCT(B107:C107)</f>
        <v>21135.99</v>
      </c>
      <c r="G107" s="21"/>
      <c r="H107" s="21"/>
    </row>
    <row r="108" spans="1:10" ht="15.75" thickBot="1">
      <c r="A108" s="144" t="s">
        <v>80</v>
      </c>
      <c r="B108" s="6">
        <v>2113599</v>
      </c>
      <c r="C108" s="53">
        <v>1.6299999999999999E-2</v>
      </c>
      <c r="D108" s="167">
        <f>PRODUCT(B108:C108)</f>
        <v>34451.663699999997</v>
      </c>
      <c r="G108" s="21"/>
      <c r="H108" s="21"/>
    </row>
    <row r="109" spans="1:10" ht="16.5" thickBot="1">
      <c r="A109" s="105" t="s">
        <v>7</v>
      </c>
      <c r="B109" s="110"/>
      <c r="C109" s="110"/>
      <c r="D109" s="111">
        <f>SUM(D104:D108)</f>
        <v>134002.17660000001</v>
      </c>
      <c r="F109" s="21"/>
      <c r="G109" s="21"/>
      <c r="J109">
        <v>6.3E-2</v>
      </c>
    </row>
    <row r="110" spans="1:10" ht="15.75" thickBot="1">
      <c r="D110" s="65"/>
    </row>
    <row r="111" spans="1:10" ht="15.75">
      <c r="A111" s="113" t="s">
        <v>83</v>
      </c>
      <c r="B111" s="114"/>
      <c r="C111" s="19"/>
      <c r="D111" s="115">
        <f>SUM(J55,H66,D71,D78,D84,E93,D97,D109)</f>
        <v>4716188.2809321396</v>
      </c>
    </row>
    <row r="112" spans="1:10" ht="16.5" thickBot="1">
      <c r="A112" s="142"/>
      <c r="B112" s="54"/>
      <c r="C112" s="54"/>
      <c r="D112" s="143"/>
    </row>
    <row r="113" spans="1:10" ht="15.75">
      <c r="D113" s="108"/>
      <c r="E113" s="112"/>
    </row>
    <row r="114" spans="1:10" ht="16.5" thickBot="1">
      <c r="A114" s="224" t="s">
        <v>94</v>
      </c>
      <c r="B114" s="224"/>
      <c r="C114" s="224"/>
      <c r="D114" s="224"/>
    </row>
    <row r="115" spans="1:10" ht="63.75" customHeight="1" thickBot="1">
      <c r="A115" s="32"/>
      <c r="B115" s="71" t="s">
        <v>51</v>
      </c>
      <c r="C115" s="72" t="s">
        <v>54</v>
      </c>
      <c r="D115" s="73" t="s">
        <v>76</v>
      </c>
    </row>
    <row r="116" spans="1:10">
      <c r="A116" s="33" t="s">
        <v>102</v>
      </c>
      <c r="B116" s="19">
        <v>2113599</v>
      </c>
      <c r="C116" s="34">
        <v>0.3</v>
      </c>
      <c r="D116" s="63">
        <f>PRODUCT(B116:C116)</f>
        <v>634079.69999999995</v>
      </c>
    </row>
    <row r="117" spans="1:10">
      <c r="A117" s="85" t="s">
        <v>89</v>
      </c>
      <c r="B117" s="5">
        <v>2113599</v>
      </c>
      <c r="C117" s="118">
        <v>0.20300000000000001</v>
      </c>
      <c r="D117" s="78">
        <f>PRODUCT(D116,0.203)</f>
        <v>128718.17909999999</v>
      </c>
    </row>
    <row r="118" spans="1:10">
      <c r="A118" s="85" t="s">
        <v>77</v>
      </c>
      <c r="B118" s="5">
        <v>2113599</v>
      </c>
      <c r="C118" s="5">
        <v>7.0000000000000007E-2</v>
      </c>
      <c r="D118" s="78">
        <f>PRODUCT(B118:C118)</f>
        <v>147951.93000000002</v>
      </c>
    </row>
    <row r="119" spans="1:10">
      <c r="A119" s="85" t="s">
        <v>81</v>
      </c>
      <c r="B119" s="5">
        <v>2113599</v>
      </c>
      <c r="C119" s="5">
        <v>0.02</v>
      </c>
      <c r="D119" s="78">
        <f>PRODUCT(B119:C119)</f>
        <v>42271.98</v>
      </c>
    </row>
    <row r="120" spans="1:10">
      <c r="A120" s="85" t="s">
        <v>84</v>
      </c>
      <c r="B120" s="5">
        <v>2113599</v>
      </c>
      <c r="C120" s="5"/>
      <c r="D120" s="78"/>
    </row>
    <row r="121" spans="1:10" ht="45">
      <c r="A121" s="106" t="s">
        <v>82</v>
      </c>
      <c r="B121" s="6">
        <v>2113599</v>
      </c>
      <c r="C121" s="5">
        <v>0.01</v>
      </c>
      <c r="D121" s="78">
        <f>PRODUCT(B121:C121)</f>
        <v>21135.99</v>
      </c>
    </row>
    <row r="122" spans="1:10" ht="15.75" thickBot="1">
      <c r="A122" s="67"/>
      <c r="B122" s="57"/>
      <c r="C122" s="54"/>
      <c r="D122" s="49"/>
    </row>
    <row r="123" spans="1:10" ht="16.5" thickBot="1">
      <c r="A123" s="105" t="s">
        <v>93</v>
      </c>
      <c r="B123" s="16"/>
      <c r="C123" s="16"/>
      <c r="D123" s="119">
        <f>SUM(D116:D122)</f>
        <v>974157.77909999993</v>
      </c>
    </row>
    <row r="124" spans="1:10" ht="15.75" thickBot="1">
      <c r="A124" s="144"/>
      <c r="B124" s="53"/>
      <c r="C124" s="53"/>
      <c r="D124" s="145"/>
    </row>
    <row r="125" spans="1:10" ht="18.75" thickBot="1">
      <c r="A125" s="120" t="s">
        <v>90</v>
      </c>
      <c r="B125" s="109"/>
      <c r="C125" s="109"/>
      <c r="D125" s="121">
        <f>SUM(D111,D123)</f>
        <v>5690346.0600321395</v>
      </c>
    </row>
    <row r="126" spans="1:10" ht="18.75" thickBot="1">
      <c r="A126" s="128" t="s">
        <v>96</v>
      </c>
      <c r="B126" s="109"/>
      <c r="C126" s="109"/>
      <c r="D126" s="121">
        <v>1300</v>
      </c>
    </row>
    <row r="127" spans="1:10" ht="18.75" customHeight="1" thickBot="1">
      <c r="A127" s="105" t="s">
        <v>95</v>
      </c>
      <c r="B127" s="122"/>
      <c r="C127" s="122"/>
      <c r="D127" s="117">
        <f>PRODUCT(D125,0.115)</f>
        <v>654389.79690369603</v>
      </c>
    </row>
    <row r="128" spans="1:10" ht="18.75" customHeight="1" thickBot="1">
      <c r="A128" s="105" t="s">
        <v>91</v>
      </c>
      <c r="B128" s="122"/>
      <c r="C128" s="122"/>
      <c r="D128" s="117">
        <f>SUM(D125:D127)</f>
        <v>6346035.8569358354</v>
      </c>
      <c r="J128" s="101"/>
    </row>
    <row r="129" spans="1:10" ht="16.5" thickBot="1">
      <c r="A129" s="141"/>
      <c r="B129" s="19"/>
      <c r="C129" s="19"/>
      <c r="D129" s="182"/>
      <c r="J129" s="101"/>
    </row>
    <row r="130" spans="1:10" ht="19.5" thickBot="1">
      <c r="A130" s="183" t="s">
        <v>92</v>
      </c>
      <c r="B130" s="184"/>
      <c r="C130" s="184"/>
      <c r="D130" s="185">
        <f>PRODUCT(D128,1/13216)</f>
        <v>480.17825794006023</v>
      </c>
      <c r="E130" s="112"/>
      <c r="I130" s="112"/>
      <c r="J130">
        <f>PRODUCT(D130,2.8)</f>
        <v>1344.4991222321685</v>
      </c>
    </row>
    <row r="131" spans="1:10">
      <c r="A131" s="21"/>
      <c r="B131" s="21"/>
      <c r="C131" s="21"/>
      <c r="D131" s="21"/>
    </row>
    <row r="132" spans="1:10" ht="15.75">
      <c r="A132" s="180" t="s">
        <v>140</v>
      </c>
      <c r="B132" s="180"/>
      <c r="C132" s="21"/>
      <c r="D132" s="216">
        <f>PRODUCT(J130,1/12)</f>
        <v>112.04159351934737</v>
      </c>
      <c r="E132" s="21"/>
    </row>
    <row r="133" spans="1:10" ht="18.75">
      <c r="A133" s="181"/>
      <c r="B133" s="246"/>
      <c r="C133" s="246"/>
      <c r="D133" s="181"/>
      <c r="E133" s="191"/>
      <c r="F133" s="192"/>
      <c r="G133" s="192"/>
      <c r="H133" s="192"/>
    </row>
    <row r="134" spans="1:10" ht="18.75">
      <c r="A134" s="181"/>
      <c r="B134" s="246"/>
      <c r="C134" s="246"/>
      <c r="D134" s="181"/>
      <c r="E134" s="191"/>
      <c r="F134" s="192"/>
      <c r="G134" s="192"/>
      <c r="H134" s="192"/>
    </row>
    <row r="135" spans="1:10">
      <c r="A135" s="192"/>
      <c r="B135" s="217"/>
      <c r="C135" s="217"/>
    </row>
    <row r="136" spans="1:10" ht="18.75">
      <c r="A136" s="190" t="s">
        <v>116</v>
      </c>
      <c r="B136" s="217"/>
      <c r="C136" s="217"/>
      <c r="D136" s="194" t="s">
        <v>117</v>
      </c>
    </row>
    <row r="137" spans="1:10">
      <c r="A137" s="192"/>
    </row>
    <row r="147" spans="8:8" ht="15.75">
      <c r="H147" s="102"/>
    </row>
    <row r="161" spans="1:8" ht="16.5" customHeight="1">
      <c r="C161" s="3"/>
      <c r="D161" s="3"/>
    </row>
    <row r="162" spans="1:8">
      <c r="E162" s="3"/>
      <c r="F162" s="3"/>
    </row>
    <row r="163" spans="1:8" ht="18.75" customHeight="1"/>
    <row r="164" spans="1:8" ht="15.75" customHeight="1"/>
    <row r="165" spans="1:8" ht="15.75" customHeight="1">
      <c r="A165" s="43"/>
      <c r="B165" s="43"/>
    </row>
    <row r="166" spans="1:8" ht="15.75">
      <c r="A166" s="152"/>
      <c r="B166" s="152"/>
      <c r="C166" s="21"/>
      <c r="D166" s="21"/>
    </row>
    <row r="167" spans="1:8" ht="15.75">
      <c r="A167" s="152"/>
      <c r="B167" s="152"/>
      <c r="C167" s="21"/>
      <c r="D167" s="153"/>
      <c r="E167" s="21"/>
      <c r="F167" s="21"/>
      <c r="G167" s="21"/>
      <c r="H167" s="21"/>
    </row>
    <row r="168" spans="1:8" ht="29.25" customHeight="1">
      <c r="A168" s="154"/>
      <c r="B168" s="154"/>
      <c r="C168" s="154"/>
      <c r="D168" s="21"/>
      <c r="E168" s="21"/>
      <c r="F168" s="21"/>
      <c r="G168" s="21"/>
      <c r="H168" s="21"/>
    </row>
    <row r="169" spans="1:8" ht="15.75">
      <c r="A169" s="154"/>
      <c r="B169" s="154"/>
      <c r="C169" s="154"/>
      <c r="D169" s="21"/>
      <c r="E169" s="21"/>
      <c r="F169" s="21"/>
      <c r="G169" s="21"/>
      <c r="H169" s="21"/>
    </row>
    <row r="170" spans="1:8">
      <c r="A170" s="21"/>
      <c r="B170" s="21"/>
      <c r="C170" s="21"/>
      <c r="D170" s="21"/>
      <c r="E170" s="21"/>
      <c r="F170" s="21"/>
      <c r="G170" s="21"/>
      <c r="H170" s="21"/>
    </row>
    <row r="171" spans="1:8">
      <c r="A171" s="155"/>
      <c r="B171" s="155"/>
      <c r="C171" s="155"/>
      <c r="D171" s="155"/>
      <c r="E171" s="21"/>
      <c r="F171" s="21"/>
      <c r="G171" s="21"/>
      <c r="H171" s="21"/>
    </row>
    <row r="172" spans="1:8" ht="15.75">
      <c r="A172" s="20"/>
      <c r="B172" s="156"/>
      <c r="C172" s="157"/>
      <c r="D172" s="158"/>
      <c r="E172" s="155"/>
      <c r="F172" s="21"/>
      <c r="G172" s="21"/>
      <c r="H172" s="21"/>
    </row>
    <row r="173" spans="1:8" ht="15.75">
      <c r="A173" s="159"/>
      <c r="B173" s="156"/>
      <c r="C173" s="157"/>
      <c r="D173" s="158"/>
      <c r="E173" s="157"/>
      <c r="F173" s="21"/>
      <c r="G173" s="21"/>
      <c r="H173" s="21"/>
    </row>
    <row r="174" spans="1:8" ht="15.75">
      <c r="A174" s="20"/>
      <c r="B174" s="20"/>
      <c r="C174" s="20"/>
      <c r="D174" s="20"/>
      <c r="E174" s="157"/>
      <c r="F174" s="21"/>
      <c r="G174" s="21"/>
      <c r="H174" s="21"/>
    </row>
    <row r="175" spans="1:8" ht="15.75">
      <c r="A175" s="21"/>
      <c r="B175" s="21"/>
      <c r="C175" s="21"/>
      <c r="D175" s="21"/>
      <c r="E175" s="20"/>
      <c r="F175" s="21"/>
      <c r="G175" s="21"/>
      <c r="H175" s="21"/>
    </row>
    <row r="176" spans="1:8">
      <c r="A176" s="21"/>
      <c r="B176" s="21"/>
      <c r="C176" s="21"/>
      <c r="D176" s="21"/>
      <c r="E176" s="21"/>
      <c r="F176" s="21"/>
      <c r="G176" s="21"/>
      <c r="H176" s="21"/>
    </row>
    <row r="177" spans="5:8">
      <c r="E177" s="21"/>
      <c r="F177" s="21"/>
      <c r="G177" s="21"/>
      <c r="H177" s="21"/>
    </row>
  </sheetData>
  <mergeCells count="51">
    <mergeCell ref="H8:H9"/>
    <mergeCell ref="A14:G14"/>
    <mergeCell ref="C15:C16"/>
    <mergeCell ref="G15:H15"/>
    <mergeCell ref="A15:A16"/>
    <mergeCell ref="B15:B16"/>
    <mergeCell ref="D15:D16"/>
    <mergeCell ref="B133:C133"/>
    <mergeCell ref="B134:C134"/>
    <mergeCell ref="D24:D25"/>
    <mergeCell ref="A95:D95"/>
    <mergeCell ref="A42:E42"/>
    <mergeCell ref="A44:B44"/>
    <mergeCell ref="A45:B45"/>
    <mergeCell ref="A46:B46"/>
    <mergeCell ref="A47:B47"/>
    <mergeCell ref="A43:B43"/>
    <mergeCell ref="A73:D73"/>
    <mergeCell ref="A68:D68"/>
    <mergeCell ref="A114:D114"/>
    <mergeCell ref="A102:D102"/>
    <mergeCell ref="A86:D86"/>
    <mergeCell ref="E24:E25"/>
    <mergeCell ref="C8:C9"/>
    <mergeCell ref="B8:B9"/>
    <mergeCell ref="A8:A9"/>
    <mergeCell ref="D8:E8"/>
    <mergeCell ref="F8:G8"/>
    <mergeCell ref="A17:B17"/>
    <mergeCell ref="A82:D82"/>
    <mergeCell ref="E15:E16"/>
    <mergeCell ref="F15:F16"/>
    <mergeCell ref="C35:D35"/>
    <mergeCell ref="A23:G23"/>
    <mergeCell ref="A24:A25"/>
    <mergeCell ref="B24:B25"/>
    <mergeCell ref="A49:G49"/>
    <mergeCell ref="G24:H24"/>
    <mergeCell ref="A19:B19"/>
    <mergeCell ref="A34:G34"/>
    <mergeCell ref="A29:B29"/>
    <mergeCell ref="A26:B26"/>
    <mergeCell ref="F24:F25"/>
    <mergeCell ref="C24:C25"/>
    <mergeCell ref="E1:H1"/>
    <mergeCell ref="E2:H2"/>
    <mergeCell ref="E3:H3"/>
    <mergeCell ref="A7:G7"/>
    <mergeCell ref="A6:G6"/>
    <mergeCell ref="A4:H4"/>
    <mergeCell ref="A5:G5"/>
  </mergeCells>
  <pageMargins left="0.51181102362204722" right="0.31496062992125984" top="0.78740157480314965" bottom="0.74803149606299213" header="0.51181102362204722" footer="0.51181102362204722"/>
  <pageSetup paperSize="9" orientation="landscape" horizontalDpi="180" verticalDpi="180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workbookViewId="0">
      <selection activeCell="J6" sqref="J6"/>
    </sheetView>
  </sheetViews>
  <sheetFormatPr defaultRowHeight="15"/>
  <cols>
    <col min="1" max="1" width="22.85546875" customWidth="1"/>
    <col min="10" max="10" width="11.28515625" customWidth="1"/>
  </cols>
  <sheetData>
    <row r="2" spans="1:10">
      <c r="A2" s="197"/>
      <c r="B2" s="197"/>
      <c r="C2" s="196" t="s">
        <v>123</v>
      </c>
      <c r="D2" s="196" t="s">
        <v>124</v>
      </c>
      <c r="E2" s="196" t="s">
        <v>125</v>
      </c>
      <c r="F2" s="196" t="s">
        <v>126</v>
      </c>
      <c r="G2" s="196" t="s">
        <v>124</v>
      </c>
      <c r="H2" s="196" t="s">
        <v>130</v>
      </c>
      <c r="I2" s="196" t="s">
        <v>131</v>
      </c>
      <c r="J2" s="196" t="s">
        <v>132</v>
      </c>
    </row>
    <row r="3" spans="1:10">
      <c r="A3" s="197" t="s">
        <v>127</v>
      </c>
      <c r="B3" s="197"/>
      <c r="C3" s="197">
        <v>1660</v>
      </c>
      <c r="D3" s="197">
        <v>0.8</v>
      </c>
      <c r="E3" s="197">
        <v>2.8</v>
      </c>
      <c r="F3" s="197">
        <f>PRODUCT(C3,D3,E3)</f>
        <v>3718.3999999999996</v>
      </c>
      <c r="G3" s="197"/>
      <c r="H3" s="197"/>
      <c r="I3" s="197"/>
    </row>
    <row r="4" spans="1:10">
      <c r="A4" s="197" t="s">
        <v>129</v>
      </c>
      <c r="B4" s="197"/>
      <c r="C4" s="197">
        <v>4240</v>
      </c>
      <c r="D4" s="197">
        <v>0.8</v>
      </c>
      <c r="E4" s="197">
        <v>2.8</v>
      </c>
      <c r="F4" s="197">
        <f>PRODUCT(C4,D4,E4)</f>
        <v>9497.5999999999985</v>
      </c>
      <c r="G4" s="197"/>
      <c r="H4" s="197"/>
      <c r="I4" s="197"/>
    </row>
    <row r="5" spans="1:10">
      <c r="A5" s="197"/>
      <c r="B5" s="197"/>
      <c r="C5" s="197"/>
      <c r="D5" s="197"/>
      <c r="E5" s="197"/>
      <c r="F5" s="197"/>
      <c r="G5" s="197"/>
      <c r="H5" s="197"/>
      <c r="I5" s="197"/>
    </row>
    <row r="6" spans="1:10" ht="35.25" thickBot="1">
      <c r="A6" s="43" t="s">
        <v>128</v>
      </c>
      <c r="B6" s="43"/>
      <c r="C6" s="197">
        <v>5900</v>
      </c>
      <c r="D6" s="197">
        <v>0.8</v>
      </c>
      <c r="E6" s="197">
        <v>2.8</v>
      </c>
      <c r="F6" s="197">
        <f>SUM(F3:F5)</f>
        <v>13215.999999999998</v>
      </c>
      <c r="G6" s="197">
        <v>0.125</v>
      </c>
      <c r="H6" s="197">
        <f>PRODUCT(G6,F6)</f>
        <v>1651.9999999999998</v>
      </c>
      <c r="I6" s="197">
        <v>2</v>
      </c>
      <c r="J6">
        <f>PRODUCT(F6,1/I6)</f>
        <v>6607.9999999999991</v>
      </c>
    </row>
    <row r="7" spans="1:10" ht="16.5" thickBot="1">
      <c r="A7" s="198"/>
      <c r="B7" s="199"/>
      <c r="C7" s="200"/>
      <c r="D7" s="201"/>
      <c r="E7" s="202"/>
      <c r="F7" s="202"/>
      <c r="G7" s="4"/>
      <c r="H7" s="203"/>
      <c r="I7" s="19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workbookViewId="0">
      <selection activeCell="E30" sqref="E30"/>
    </sheetView>
  </sheetViews>
  <sheetFormatPr defaultRowHeight="15"/>
  <cols>
    <col min="5" max="5" width="14.28515625" customWidth="1"/>
  </cols>
  <sheetData>
    <row r="1" spans="3:7" ht="15.75">
      <c r="C1" s="272" t="s">
        <v>104</v>
      </c>
      <c r="D1" s="272"/>
      <c r="E1" s="272"/>
      <c r="F1" s="272"/>
      <c r="G1" s="272"/>
    </row>
    <row r="2" spans="3:7" ht="15.75">
      <c r="C2" s="272" t="s">
        <v>105</v>
      </c>
      <c r="D2" s="272"/>
      <c r="E2" s="272"/>
      <c r="F2" s="272"/>
      <c r="G2" s="272"/>
    </row>
    <row r="3" spans="3:7" ht="15.75">
      <c r="C3" s="272" t="s">
        <v>106</v>
      </c>
      <c r="D3" s="272"/>
      <c r="E3" s="272"/>
      <c r="F3" s="272"/>
      <c r="G3" s="272"/>
    </row>
    <row r="4" spans="3:7" ht="15.75">
      <c r="C4" s="272" t="s">
        <v>109</v>
      </c>
      <c r="D4" s="272"/>
      <c r="E4" s="272"/>
      <c r="F4" s="272"/>
      <c r="G4" s="272"/>
    </row>
    <row r="5" spans="3:7" ht="15.75">
      <c r="C5" s="187"/>
      <c r="D5" s="187"/>
      <c r="E5" s="187"/>
    </row>
    <row r="6" spans="3:7" ht="15.75">
      <c r="C6" s="187"/>
      <c r="D6" s="187"/>
      <c r="E6" s="187"/>
    </row>
    <row r="7" spans="3:7" ht="15.75">
      <c r="C7" s="187"/>
      <c r="D7" s="187"/>
      <c r="E7" s="187"/>
    </row>
    <row r="8" spans="3:7" ht="15.75">
      <c r="C8" s="187"/>
      <c r="D8" s="187"/>
      <c r="E8" s="187"/>
    </row>
    <row r="9" spans="3:7" ht="15.75">
      <c r="C9" s="187"/>
      <c r="D9" s="187"/>
      <c r="E9" s="187"/>
    </row>
    <row r="10" spans="3:7" ht="15.75">
      <c r="C10" s="187"/>
      <c r="D10" s="187"/>
      <c r="E10" s="187"/>
    </row>
    <row r="11" spans="3:7" ht="15.75">
      <c r="C11" s="187"/>
      <c r="D11" s="187"/>
      <c r="E11" s="187"/>
    </row>
    <row r="12" spans="3:7" ht="15.75">
      <c r="C12" s="187"/>
      <c r="D12" s="187"/>
      <c r="E12" s="187"/>
    </row>
    <row r="13" spans="3:7" ht="15.75">
      <c r="C13" s="187"/>
      <c r="D13" s="187"/>
      <c r="E13" s="187"/>
    </row>
    <row r="14" spans="3:7" ht="15.75">
      <c r="C14" s="187"/>
      <c r="D14" s="187"/>
      <c r="E14" s="187"/>
    </row>
    <row r="19" spans="2:8" ht="18.75">
      <c r="B19" s="271" t="s">
        <v>110</v>
      </c>
      <c r="C19" s="271"/>
      <c r="D19" s="271"/>
      <c r="E19" s="271"/>
      <c r="F19" s="271"/>
      <c r="G19" s="271"/>
    </row>
    <row r="20" spans="2:8" ht="18.75" customHeight="1">
      <c r="B20" s="274" t="s">
        <v>111</v>
      </c>
      <c r="C20" s="274"/>
      <c r="D20" s="274"/>
      <c r="E20" s="274"/>
      <c r="F20" s="274"/>
      <c r="G20" s="274"/>
      <c r="H20" s="274"/>
    </row>
    <row r="21" spans="2:8" ht="15.75" customHeight="1">
      <c r="B21" s="274" t="s">
        <v>112</v>
      </c>
      <c r="C21" s="274"/>
      <c r="D21" s="274"/>
      <c r="E21" s="274"/>
      <c r="F21" s="274"/>
      <c r="G21" s="274"/>
      <c r="H21" s="274"/>
    </row>
    <row r="22" spans="2:8" ht="15.75">
      <c r="B22" s="274" t="s">
        <v>115</v>
      </c>
      <c r="C22" s="274"/>
      <c r="D22" s="274"/>
      <c r="E22" s="274"/>
      <c r="F22" s="274"/>
      <c r="G22" s="274"/>
      <c r="H22" s="274"/>
    </row>
    <row r="23" spans="2:8" ht="15.75">
      <c r="B23" s="273" t="s">
        <v>113</v>
      </c>
      <c r="C23" s="273"/>
      <c r="D23" s="273"/>
      <c r="E23" s="273"/>
      <c r="F23" s="273"/>
      <c r="G23" s="273"/>
      <c r="H23" s="273"/>
    </row>
    <row r="24" spans="2:8" ht="15.75">
      <c r="B24" s="274" t="s">
        <v>114</v>
      </c>
      <c r="C24" s="274"/>
      <c r="D24" s="274"/>
      <c r="E24" s="274"/>
      <c r="F24" s="274"/>
      <c r="G24" s="274"/>
      <c r="H24" s="274"/>
    </row>
    <row r="32" spans="2:8">
      <c r="B32" s="270"/>
      <c r="C32" s="270"/>
    </row>
    <row r="33" spans="2:3">
      <c r="B33" s="270"/>
      <c r="C33" s="270"/>
    </row>
    <row r="34" spans="2:3">
      <c r="B34" s="270"/>
      <c r="C34" s="270"/>
    </row>
    <row r="35" spans="2:3">
      <c r="B35" s="270"/>
      <c r="C35" s="270"/>
    </row>
    <row r="36" spans="2:3">
      <c r="B36" s="270"/>
      <c r="C36" s="270"/>
    </row>
    <row r="37" spans="2:3" ht="15.75">
      <c r="B37" s="189" t="s">
        <v>107</v>
      </c>
    </row>
    <row r="38" spans="2:3" ht="15.75">
      <c r="B38" s="189" t="s">
        <v>108</v>
      </c>
    </row>
    <row r="39" spans="2:3" ht="15.75">
      <c r="B39" s="189"/>
    </row>
    <row r="40" spans="2:3" ht="15.75">
      <c r="B40" s="189"/>
    </row>
    <row r="41" spans="2:3" ht="15.75">
      <c r="B41" s="189"/>
    </row>
    <row r="42" spans="2:3" ht="15.75">
      <c r="B42" s="189"/>
    </row>
  </sheetData>
  <mergeCells count="15">
    <mergeCell ref="B35:C35"/>
    <mergeCell ref="B36:C36"/>
    <mergeCell ref="B19:G19"/>
    <mergeCell ref="C1:G1"/>
    <mergeCell ref="C2:G2"/>
    <mergeCell ref="B23:H23"/>
    <mergeCell ref="B24:H24"/>
    <mergeCell ref="B32:C32"/>
    <mergeCell ref="B33:C33"/>
    <mergeCell ref="B34:C34"/>
    <mergeCell ref="C3:G3"/>
    <mergeCell ref="C4:G4"/>
    <mergeCell ref="B20:H20"/>
    <mergeCell ref="B21:H21"/>
    <mergeCell ref="B22:H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2019-01-25T07:44:00Z</dcterms:modified>
</cp:coreProperties>
</file>